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ORMS\DRAFT FORMS\"/>
    </mc:Choice>
  </mc:AlternateContent>
  <bookViews>
    <workbookView xWindow="-15" yWindow="45" windowWidth="19215" windowHeight="6345" firstSheet="3" activeTab="3"/>
  </bookViews>
  <sheets>
    <sheet name="MATRIX" sheetId="18" state="hidden" r:id="rId1"/>
    <sheet name="FY19 ALLOCATIONS" sheetId="17" state="hidden" r:id="rId2"/>
    <sheet name="LISTS" sheetId="29" state="hidden" r:id="rId3"/>
    <sheet name="BUDGET ADJUSTMENT" sheetId="31" r:id="rId4"/>
    <sheet name="SPECIAL REQUEST" sheetId="30" r:id="rId5"/>
    <sheet name="COL WAIVER" sheetId="35" r:id="rId6"/>
    <sheet name="MATCH" sheetId="33" state="hidden" r:id="rId7"/>
  </sheets>
  <definedNames>
    <definedName name="_xlnm._FilterDatabase" localSheetId="1" hidden="1">'FY19 ALLOCATIONS'!$A$1:$V$171</definedName>
    <definedName name="_xlnm.Print_Area" localSheetId="3">'BUDGET ADJUSTMENT'!$A$1:$E$54</definedName>
  </definedNames>
  <calcPr calcId="162913"/>
</workbook>
</file>

<file path=xl/calcChain.xml><?xml version="1.0" encoding="utf-8"?>
<calcChain xmlns="http://schemas.openxmlformats.org/spreadsheetml/2006/main">
  <c r="B25" i="35" l="1"/>
  <c r="B27" i="35" s="1"/>
  <c r="B21" i="35"/>
  <c r="B23" i="35" s="1"/>
  <c r="B2" i="35"/>
  <c r="F168" i="33" l="1"/>
  <c r="B168" i="33"/>
  <c r="E163" i="33"/>
  <c r="E159" i="33"/>
  <c r="E157" i="33"/>
  <c r="E149" i="33"/>
  <c r="E148" i="33"/>
  <c r="E147" i="33"/>
  <c r="E142" i="33"/>
  <c r="E138" i="33"/>
  <c r="E137" i="33"/>
  <c r="E132" i="33"/>
  <c r="E131" i="33"/>
  <c r="E127" i="33"/>
  <c r="E124" i="33"/>
  <c r="E123" i="33"/>
  <c r="E117" i="33"/>
  <c r="E115" i="33"/>
  <c r="E110" i="33"/>
  <c r="E109" i="33"/>
  <c r="E106" i="33"/>
  <c r="E102" i="33"/>
  <c r="E99" i="33"/>
  <c r="E96" i="33"/>
  <c r="E91" i="33"/>
  <c r="E87" i="33"/>
  <c r="E86" i="33"/>
  <c r="E82" i="33"/>
  <c r="E78" i="33"/>
  <c r="E76" i="33"/>
  <c r="E69" i="33"/>
  <c r="E53" i="33"/>
  <c r="E45" i="33"/>
  <c r="E42" i="33"/>
  <c r="E39" i="33"/>
  <c r="E38" i="33"/>
  <c r="E33" i="33"/>
  <c r="E29" i="33"/>
  <c r="E27" i="33"/>
  <c r="E19" i="33"/>
  <c r="E18" i="33"/>
  <c r="E16" i="33"/>
  <c r="E10" i="33"/>
  <c r="E9" i="33"/>
  <c r="E7" i="33"/>
  <c r="E168" i="33" l="1"/>
  <c r="E35" i="31" l="1"/>
  <c r="D35" i="31"/>
  <c r="B2" i="31"/>
  <c r="E37" i="31" l="1"/>
  <c r="B2" i="30"/>
  <c r="I5" i="17" l="1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4" i="17" l="1"/>
  <c r="I22" i="17"/>
  <c r="T22" i="17" s="1"/>
  <c r="I23" i="17"/>
  <c r="T23" i="17" s="1"/>
  <c r="I24" i="17"/>
  <c r="T24" i="17" s="1"/>
  <c r="I25" i="17"/>
  <c r="I26" i="17"/>
  <c r="I27" i="17"/>
  <c r="T27" i="17" s="1"/>
  <c r="I28" i="17"/>
  <c r="T28" i="17" s="1"/>
  <c r="I29" i="17"/>
  <c r="I30" i="17"/>
  <c r="I31" i="17"/>
  <c r="T31" i="17" s="1"/>
  <c r="I32" i="17"/>
  <c r="I33" i="17"/>
  <c r="I34" i="17"/>
  <c r="I35" i="17"/>
  <c r="T35" i="17" s="1"/>
  <c r="I36" i="17"/>
  <c r="T36" i="17" s="1"/>
  <c r="I37" i="17"/>
  <c r="I38" i="17"/>
  <c r="T38" i="17" s="1"/>
  <c r="I39" i="17"/>
  <c r="T39" i="17" s="1"/>
  <c r="I40" i="17"/>
  <c r="T40" i="17" s="1"/>
  <c r="I41" i="17"/>
  <c r="I42" i="17"/>
  <c r="I43" i="17"/>
  <c r="T43" i="17" s="1"/>
  <c r="I44" i="17"/>
  <c r="T44" i="17" s="1"/>
  <c r="I45" i="17"/>
  <c r="I46" i="17"/>
  <c r="I47" i="17"/>
  <c r="T47" i="17" s="1"/>
  <c r="I48" i="17"/>
  <c r="I49" i="17"/>
  <c r="I50" i="17"/>
  <c r="I51" i="17"/>
  <c r="T51" i="17" s="1"/>
  <c r="I52" i="17"/>
  <c r="T52" i="17" s="1"/>
  <c r="I53" i="17"/>
  <c r="I54" i="17"/>
  <c r="T54" i="17" s="1"/>
  <c r="I55" i="17"/>
  <c r="T55" i="17" s="1"/>
  <c r="I56" i="17"/>
  <c r="T56" i="17" s="1"/>
  <c r="I57" i="17"/>
  <c r="I58" i="17"/>
  <c r="I59" i="17"/>
  <c r="T59" i="17" s="1"/>
  <c r="I60" i="17"/>
  <c r="T60" i="17" s="1"/>
  <c r="I61" i="17"/>
  <c r="I62" i="17"/>
  <c r="I63" i="17"/>
  <c r="T63" i="17" s="1"/>
  <c r="I64" i="17"/>
  <c r="I65" i="17"/>
  <c r="I66" i="17"/>
  <c r="I67" i="17"/>
  <c r="T67" i="17" s="1"/>
  <c r="I68" i="17"/>
  <c r="T68" i="17" s="1"/>
  <c r="I69" i="17"/>
  <c r="I70" i="17"/>
  <c r="T70" i="17" s="1"/>
  <c r="I71" i="17"/>
  <c r="T71" i="17" s="1"/>
  <c r="I72" i="17"/>
  <c r="T72" i="17" s="1"/>
  <c r="I73" i="17"/>
  <c r="I74" i="17"/>
  <c r="I75" i="17"/>
  <c r="T75" i="17" s="1"/>
  <c r="I76" i="17"/>
  <c r="T76" i="17" s="1"/>
  <c r="I77" i="17"/>
  <c r="I78" i="17"/>
  <c r="I79" i="17"/>
  <c r="T79" i="17" s="1"/>
  <c r="I80" i="17"/>
  <c r="I81" i="17"/>
  <c r="I82" i="17"/>
  <c r="I83" i="17"/>
  <c r="T83" i="17" s="1"/>
  <c r="I84" i="17"/>
  <c r="T84" i="17" s="1"/>
  <c r="I85" i="17"/>
  <c r="I86" i="17"/>
  <c r="T86" i="17" s="1"/>
  <c r="I87" i="17"/>
  <c r="T87" i="17" s="1"/>
  <c r="I88" i="17"/>
  <c r="T88" i="17" s="1"/>
  <c r="I89" i="17"/>
  <c r="I90" i="17"/>
  <c r="I91" i="17"/>
  <c r="T91" i="17" s="1"/>
  <c r="I92" i="17"/>
  <c r="T92" i="17" s="1"/>
  <c r="I93" i="17"/>
  <c r="I94" i="17"/>
  <c r="I95" i="17"/>
  <c r="T95" i="17" s="1"/>
  <c r="I96" i="17"/>
  <c r="I97" i="17"/>
  <c r="I98" i="17"/>
  <c r="I99" i="17"/>
  <c r="T99" i="17" s="1"/>
  <c r="I100" i="17"/>
  <c r="T100" i="17" s="1"/>
  <c r="I101" i="17"/>
  <c r="I102" i="17"/>
  <c r="T102" i="17" s="1"/>
  <c r="I103" i="17"/>
  <c r="T103" i="17" s="1"/>
  <c r="I104" i="17"/>
  <c r="T104" i="17" s="1"/>
  <c r="I105" i="17"/>
  <c r="I106" i="17"/>
  <c r="I107" i="17"/>
  <c r="T107" i="17" s="1"/>
  <c r="I108" i="17"/>
  <c r="T108" i="17" s="1"/>
  <c r="I109" i="17"/>
  <c r="I110" i="17"/>
  <c r="I111" i="17"/>
  <c r="T111" i="17" s="1"/>
  <c r="I112" i="17"/>
  <c r="I113" i="17"/>
  <c r="I114" i="17"/>
  <c r="I115" i="17"/>
  <c r="T115" i="17" s="1"/>
  <c r="I116" i="17"/>
  <c r="T116" i="17" s="1"/>
  <c r="I117" i="17"/>
  <c r="I118" i="17"/>
  <c r="T118" i="17" s="1"/>
  <c r="I119" i="17"/>
  <c r="T119" i="17" s="1"/>
  <c r="I120" i="17"/>
  <c r="T120" i="17" s="1"/>
  <c r="I121" i="17"/>
  <c r="I122" i="17"/>
  <c r="I123" i="17"/>
  <c r="T123" i="17" s="1"/>
  <c r="I124" i="17"/>
  <c r="T124" i="17" s="1"/>
  <c r="I125" i="17"/>
  <c r="I126" i="17"/>
  <c r="I127" i="17"/>
  <c r="T127" i="17" s="1"/>
  <c r="I128" i="17"/>
  <c r="I129" i="17"/>
  <c r="I130" i="17"/>
  <c r="I131" i="17"/>
  <c r="T131" i="17" s="1"/>
  <c r="I132" i="17"/>
  <c r="T132" i="17" s="1"/>
  <c r="I133" i="17"/>
  <c r="I134" i="17"/>
  <c r="T134" i="17" s="1"/>
  <c r="I135" i="17"/>
  <c r="T135" i="17" s="1"/>
  <c r="I136" i="17"/>
  <c r="T136" i="17" s="1"/>
  <c r="I137" i="17"/>
  <c r="I138" i="17"/>
  <c r="I139" i="17"/>
  <c r="T139" i="17" s="1"/>
  <c r="I140" i="17"/>
  <c r="T140" i="17" s="1"/>
  <c r="I141" i="17"/>
  <c r="I142" i="17"/>
  <c r="I143" i="17"/>
  <c r="T143" i="17" s="1"/>
  <c r="I144" i="17"/>
  <c r="I145" i="17"/>
  <c r="I146" i="17"/>
  <c r="I147" i="17"/>
  <c r="T147" i="17" s="1"/>
  <c r="I148" i="17"/>
  <c r="T148" i="17" s="1"/>
  <c r="I149" i="17"/>
  <c r="I150" i="17"/>
  <c r="T150" i="17" s="1"/>
  <c r="I151" i="17"/>
  <c r="T151" i="17" s="1"/>
  <c r="I152" i="17"/>
  <c r="T152" i="17" s="1"/>
  <c r="I153" i="17"/>
  <c r="I154" i="17"/>
  <c r="I155" i="17"/>
  <c r="T155" i="17" s="1"/>
  <c r="I156" i="17"/>
  <c r="T156" i="17" s="1"/>
  <c r="I157" i="17"/>
  <c r="I158" i="17"/>
  <c r="I159" i="17"/>
  <c r="T159" i="17" s="1"/>
  <c r="I160" i="17"/>
  <c r="I161" i="17"/>
  <c r="I162" i="17"/>
  <c r="I163" i="17"/>
  <c r="T163" i="17" s="1"/>
  <c r="I164" i="17"/>
  <c r="T164" i="17" s="1"/>
  <c r="I165" i="17"/>
  <c r="I166" i="17"/>
  <c r="T166" i="17" s="1"/>
  <c r="I167" i="17"/>
  <c r="T167" i="17" s="1"/>
  <c r="I168" i="17"/>
  <c r="T168" i="17" s="1"/>
  <c r="I169" i="17"/>
  <c r="I3" i="17"/>
  <c r="T4" i="17"/>
  <c r="T5" i="17"/>
  <c r="T6" i="17"/>
  <c r="T7" i="17"/>
  <c r="T8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5" i="17"/>
  <c r="T26" i="17"/>
  <c r="T29" i="17"/>
  <c r="T30" i="17"/>
  <c r="T32" i="17"/>
  <c r="T33" i="17"/>
  <c r="T34" i="17"/>
  <c r="T37" i="17"/>
  <c r="T41" i="17"/>
  <c r="T42" i="17"/>
  <c r="T45" i="17"/>
  <c r="T46" i="17"/>
  <c r="T48" i="17"/>
  <c r="T49" i="17"/>
  <c r="T50" i="17"/>
  <c r="T53" i="17"/>
  <c r="T57" i="17"/>
  <c r="T58" i="17"/>
  <c r="T61" i="17"/>
  <c r="T62" i="17"/>
  <c r="T64" i="17"/>
  <c r="T65" i="17"/>
  <c r="T66" i="17"/>
  <c r="T69" i="17"/>
  <c r="T73" i="17"/>
  <c r="T74" i="17"/>
  <c r="T77" i="17"/>
  <c r="T78" i="17"/>
  <c r="T80" i="17"/>
  <c r="T81" i="17"/>
  <c r="T82" i="17"/>
  <c r="T85" i="17"/>
  <c r="T89" i="17"/>
  <c r="T90" i="17"/>
  <c r="T93" i="17"/>
  <c r="T94" i="17"/>
  <c r="T96" i="17"/>
  <c r="T97" i="17"/>
  <c r="T98" i="17"/>
  <c r="T101" i="17"/>
  <c r="T105" i="17"/>
  <c r="T106" i="17"/>
  <c r="T109" i="17"/>
  <c r="T110" i="17"/>
  <c r="T112" i="17"/>
  <c r="T113" i="17"/>
  <c r="T114" i="17"/>
  <c r="T117" i="17"/>
  <c r="T121" i="17"/>
  <c r="T122" i="17"/>
  <c r="T125" i="17"/>
  <c r="T126" i="17"/>
  <c r="T128" i="17"/>
  <c r="T129" i="17"/>
  <c r="T130" i="17"/>
  <c r="T133" i="17"/>
  <c r="T137" i="17"/>
  <c r="T138" i="17"/>
  <c r="T141" i="17"/>
  <c r="T142" i="17"/>
  <c r="T144" i="17"/>
  <c r="T145" i="17"/>
  <c r="T146" i="17"/>
  <c r="T149" i="17"/>
  <c r="T153" i="17"/>
  <c r="T154" i="17"/>
  <c r="T157" i="17"/>
  <c r="T158" i="17"/>
  <c r="T160" i="17"/>
  <c r="T161" i="17"/>
  <c r="T162" i="17"/>
  <c r="T165" i="17"/>
  <c r="T169" i="17"/>
  <c r="D171" i="17" l="1"/>
  <c r="E171" i="17"/>
  <c r="F171" i="17"/>
  <c r="G171" i="17"/>
  <c r="H171" i="17"/>
  <c r="I171" i="17"/>
  <c r="J171" i="17"/>
  <c r="K171" i="17"/>
  <c r="L171" i="17"/>
  <c r="M171" i="17"/>
  <c r="N171" i="17"/>
  <c r="O171" i="17"/>
  <c r="P171" i="17"/>
  <c r="Q171" i="17"/>
  <c r="R171" i="17"/>
  <c r="S171" i="17"/>
  <c r="U171" i="17"/>
  <c r="C171" i="17"/>
  <c r="T171" i="17" l="1"/>
  <c r="T3" i="17" l="1"/>
</calcChain>
</file>

<file path=xl/comments1.xml><?xml version="1.0" encoding="utf-8"?>
<comments xmlns="http://schemas.openxmlformats.org/spreadsheetml/2006/main">
  <authors>
    <author>Tonya Gonzalez</author>
  </authors>
  <commentList>
    <comment ref="Q40" authorId="0" shapeId="0">
      <text>
        <r>
          <rPr>
            <b/>
            <sz val="9"/>
            <color indexed="81"/>
            <rFont val="Tahoma"/>
            <family val="2"/>
          </rPr>
          <t>Tonya Gonzalez:</t>
        </r>
        <r>
          <rPr>
            <sz val="9"/>
            <color indexed="81"/>
            <rFont val="Tahoma"/>
            <family val="2"/>
          </rPr>
          <t xml:space="preserve">
DECLINED</t>
        </r>
      </text>
    </comment>
    <comment ref="N126" authorId="0" shapeId="0">
      <text>
        <r>
          <rPr>
            <b/>
            <sz val="9"/>
            <color indexed="81"/>
            <rFont val="Tahoma"/>
            <family val="2"/>
          </rPr>
          <t>Tonya Gonzalez:</t>
        </r>
        <r>
          <rPr>
            <sz val="9"/>
            <color indexed="81"/>
            <rFont val="Tahoma"/>
            <family val="2"/>
          </rPr>
          <t xml:space="preserve">
MOVED FROM RANDALL TO POTTER</t>
        </r>
      </text>
    </comment>
  </commentList>
</comments>
</file>

<file path=xl/sharedStrings.xml><?xml version="1.0" encoding="utf-8"?>
<sst xmlns="http://schemas.openxmlformats.org/spreadsheetml/2006/main" count="1338" uniqueCount="463">
  <si>
    <t>Community Programs</t>
  </si>
  <si>
    <t>Pre &amp; Post Adjudication</t>
  </si>
  <si>
    <t>Commitment Diversion</t>
  </si>
  <si>
    <t>COUNTY</t>
  </si>
  <si>
    <t>ANDERSON</t>
  </si>
  <si>
    <t>Mental Health Services</t>
  </si>
  <si>
    <t>DEPARTMENT</t>
  </si>
  <si>
    <t>Basic Probation Supervision (minimum)</t>
  </si>
  <si>
    <t>Pre &amp; Post Adjudication Facilities</t>
  </si>
  <si>
    <t>Flexible Funds</t>
  </si>
  <si>
    <t>Basic Probation Supervision (maximum)</t>
  </si>
  <si>
    <t>TOTALS</t>
  </si>
  <si>
    <t>NUMBER</t>
  </si>
  <si>
    <t>GRANT  B</t>
  </si>
  <si>
    <t>GRANT D</t>
  </si>
  <si>
    <t xml:space="preserve">GRANT M </t>
  </si>
  <si>
    <t>GRANT P</t>
  </si>
  <si>
    <t xml:space="preserve">GRANT S     </t>
  </si>
  <si>
    <t>GRANT T</t>
  </si>
  <si>
    <t>ANDREWS</t>
  </si>
  <si>
    <t>ANGELINA</t>
  </si>
  <si>
    <t>ATASCOSA</t>
  </si>
  <si>
    <t>AUSTIN</t>
  </si>
  <si>
    <t>BAILEY</t>
  </si>
  <si>
    <t>BANDERA</t>
  </si>
  <si>
    <t>BASTROP</t>
  </si>
  <si>
    <t>BAYLOR</t>
  </si>
  <si>
    <t>BELL</t>
  </si>
  <si>
    <t>BEXAR</t>
  </si>
  <si>
    <t>BOWIE</t>
  </si>
  <si>
    <t>BRAZORIA</t>
  </si>
  <si>
    <t>BRAZOS</t>
  </si>
  <si>
    <t>BREWSTER</t>
  </si>
  <si>
    <t>BROOKS</t>
  </si>
  <si>
    <t>BROWN</t>
  </si>
  <si>
    <t>BURNET</t>
  </si>
  <si>
    <t>CALDWELL</t>
  </si>
  <si>
    <t>CALHOUN</t>
  </si>
  <si>
    <t>CALLAHAN</t>
  </si>
  <si>
    <t>CAMERON</t>
  </si>
  <si>
    <t>CASS</t>
  </si>
  <si>
    <t>CHAMBERS</t>
  </si>
  <si>
    <t>CHEROKEE</t>
  </si>
  <si>
    <t>CHILDRESS</t>
  </si>
  <si>
    <t>COCHRAN</t>
  </si>
  <si>
    <t>COKE</t>
  </si>
  <si>
    <t>COLEMAN</t>
  </si>
  <si>
    <t>COLLIN</t>
  </si>
  <si>
    <t>COMAL</t>
  </si>
  <si>
    <t>COMANCHE</t>
  </si>
  <si>
    <t>COOKE</t>
  </si>
  <si>
    <t>CORYELL</t>
  </si>
  <si>
    <t>CRANE</t>
  </si>
  <si>
    <t>CROSBY</t>
  </si>
  <si>
    <t>CULBERSON</t>
  </si>
  <si>
    <t>DALLAM</t>
  </si>
  <si>
    <t>DALLAS</t>
  </si>
  <si>
    <t>DAWSON</t>
  </si>
  <si>
    <t>DEAF SMITH</t>
  </si>
  <si>
    <t>DENTON</t>
  </si>
  <si>
    <t>DEWITT</t>
  </si>
  <si>
    <t>DUVAL</t>
  </si>
  <si>
    <t>EASTLAND</t>
  </si>
  <si>
    <t>ECTOR</t>
  </si>
  <si>
    <t>EL PASO</t>
  </si>
  <si>
    <t>ELLIS</t>
  </si>
  <si>
    <t>ERATH</t>
  </si>
  <si>
    <t>FANNIN</t>
  </si>
  <si>
    <t>FAYETTE</t>
  </si>
  <si>
    <t>FLOYD</t>
  </si>
  <si>
    <t>FORT BEND</t>
  </si>
  <si>
    <t>FRIO</t>
  </si>
  <si>
    <t>GAINES</t>
  </si>
  <si>
    <t>GALVESTON</t>
  </si>
  <si>
    <t>GARZA</t>
  </si>
  <si>
    <t>GOLIAD</t>
  </si>
  <si>
    <t>GRAY</t>
  </si>
  <si>
    <t>GRAYSON</t>
  </si>
  <si>
    <t>GREGG</t>
  </si>
  <si>
    <t>GRIMES</t>
  </si>
  <si>
    <t>GUADALUPE</t>
  </si>
  <si>
    <t>HALE</t>
  </si>
  <si>
    <t>HARDIN</t>
  </si>
  <si>
    <t>HARRIS</t>
  </si>
  <si>
    <t>HARRISON</t>
  </si>
  <si>
    <t>HASKELL</t>
  </si>
  <si>
    <t>HAYS</t>
  </si>
  <si>
    <t>HENDERSON</t>
  </si>
  <si>
    <t>HIDALGO</t>
  </si>
  <si>
    <t>HILL</t>
  </si>
  <si>
    <t>HOCKLEY</t>
  </si>
  <si>
    <t>HOOD</t>
  </si>
  <si>
    <t>HOPKINS</t>
  </si>
  <si>
    <t>HOUSTON</t>
  </si>
  <si>
    <t>HOWARD</t>
  </si>
  <si>
    <t>HUNT</t>
  </si>
  <si>
    <t>HUTCHINSON</t>
  </si>
  <si>
    <t>JACKSON</t>
  </si>
  <si>
    <t>JASPER</t>
  </si>
  <si>
    <t>JEFFERSON</t>
  </si>
  <si>
    <t>JIM WELLS</t>
  </si>
  <si>
    <t>JOHNSON</t>
  </si>
  <si>
    <t>JONES</t>
  </si>
  <si>
    <t>KARNES</t>
  </si>
  <si>
    <t>KAUFMAN</t>
  </si>
  <si>
    <t>KENDALL</t>
  </si>
  <si>
    <t>KERR</t>
  </si>
  <si>
    <t>KLEBERG</t>
  </si>
  <si>
    <t>LAMAR</t>
  </si>
  <si>
    <t>LAMB</t>
  </si>
  <si>
    <t>LAMPASAS</t>
  </si>
  <si>
    <t>LASALLE</t>
  </si>
  <si>
    <t>LAVACA</t>
  </si>
  <si>
    <t>LEON</t>
  </si>
  <si>
    <t>LIBERTY</t>
  </si>
  <si>
    <t>LIMESTONE</t>
  </si>
  <si>
    <t>LUBBOCK</t>
  </si>
  <si>
    <t>LYNN</t>
  </si>
  <si>
    <t>MCCULLOCH</t>
  </si>
  <si>
    <t>MCLENNAN</t>
  </si>
  <si>
    <t>MADISON</t>
  </si>
  <si>
    <t>MATAGORDA</t>
  </si>
  <si>
    <t>MAVERICK</t>
  </si>
  <si>
    <t>MEDINA</t>
  </si>
  <si>
    <t>MIDLAND</t>
  </si>
  <si>
    <t>MILAM</t>
  </si>
  <si>
    <t>MONTAGUE</t>
  </si>
  <si>
    <t>MONTGOMERY</t>
  </si>
  <si>
    <t>MOORE</t>
  </si>
  <si>
    <t>NACOGDOCHES</t>
  </si>
  <si>
    <t>NAVARRO</t>
  </si>
  <si>
    <t>NOLAN</t>
  </si>
  <si>
    <t>NUECES</t>
  </si>
  <si>
    <t>OCHILTREE</t>
  </si>
  <si>
    <t>ORANGE</t>
  </si>
  <si>
    <t>PALO PINTO</t>
  </si>
  <si>
    <t>PANOLA</t>
  </si>
  <si>
    <t>PARKER</t>
  </si>
  <si>
    <t>PECOS</t>
  </si>
  <si>
    <t>POLK</t>
  </si>
  <si>
    <t>POTTER</t>
  </si>
  <si>
    <t>RANDALL</t>
  </si>
  <si>
    <t>RED RIVER</t>
  </si>
  <si>
    <t>REEVES</t>
  </si>
  <si>
    <t>REFUGIO</t>
  </si>
  <si>
    <t>ROCKWALL</t>
  </si>
  <si>
    <t>RUSK</t>
  </si>
  <si>
    <t>SAN PATRICIO</t>
  </si>
  <si>
    <t>SCURRY</t>
  </si>
  <si>
    <t>SHELBY</t>
  </si>
  <si>
    <t>SMITH</t>
  </si>
  <si>
    <t>SOMERVELL</t>
  </si>
  <si>
    <t>STARR</t>
  </si>
  <si>
    <t>SUTTON</t>
  </si>
  <si>
    <t>SWISHER</t>
  </si>
  <si>
    <t>TARRANT</t>
  </si>
  <si>
    <t>TAYLOR</t>
  </si>
  <si>
    <t>TERRY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</si>
  <si>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</si>
  <si>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</si>
  <si>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</si>
  <si>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</si>
  <si>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</si>
  <si>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</si>
  <si>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</si>
  <si>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</si>
  <si>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</si>
  <si>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</si>
  <si>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WALKER</t>
  </si>
  <si>
    <t>WALLER</t>
  </si>
  <si>
    <t>WARD</t>
  </si>
  <si>
    <t>WEBB</t>
  </si>
  <si>
    <t>WHARTON</t>
  </si>
  <si>
    <t>WHEELER</t>
  </si>
  <si>
    <t>WICHITA</t>
  </si>
  <si>
    <t>WILBARGER</t>
  </si>
  <si>
    <t>WILLACY</t>
  </si>
  <si>
    <t>WILLIAMSON</t>
  </si>
  <si>
    <t>WINKLER</t>
  </si>
  <si>
    <t>WISE</t>
  </si>
  <si>
    <t>WOOD</t>
  </si>
  <si>
    <t>YOAKUM</t>
  </si>
  <si>
    <t>YOUNG</t>
  </si>
  <si>
    <t>ZAPATA</t>
  </si>
  <si>
    <t>Grand Total</t>
  </si>
  <si>
    <t>COUNTY NUMBER</t>
  </si>
  <si>
    <t>001</t>
  </si>
  <si>
    <t>002</t>
  </si>
  <si>
    <t>003</t>
  </si>
  <si>
    <t>2006 Local Match</t>
  </si>
  <si>
    <t>State Aid Grants</t>
  </si>
  <si>
    <t>Basic Probation Supervision</t>
  </si>
  <si>
    <t>Budget/Expenditure Categories</t>
  </si>
  <si>
    <t>Court Intake</t>
  </si>
  <si>
    <t>X</t>
  </si>
  <si>
    <t>X </t>
  </si>
  <si>
    <t>Direct Supervision</t>
  </si>
  <si>
    <t>Mntl. Hlth. Assessments</t>
  </si>
  <si>
    <t>Comm.-Based Prog. (General)</t>
  </si>
  <si>
    <t>Comm.-Based Prog. (Mntl. Hlth.)</t>
  </si>
  <si>
    <t>Post-Adj. (Non-Secure)</t>
  </si>
  <si>
    <t>Post-Adj. (Secure)</t>
  </si>
  <si>
    <t>Resid. Mntl. Hlth. Placement</t>
  </si>
  <si>
    <t>Detention/ Pre-Adj.</t>
  </si>
  <si>
    <t>Resid. Prog. &amp; Services</t>
  </si>
  <si>
    <t>Youth Services</t>
  </si>
  <si>
    <t>007</t>
  </si>
  <si>
    <t>008</t>
  </si>
  <si>
    <t>009</t>
  </si>
  <si>
    <t>010</t>
  </si>
  <si>
    <t>011</t>
  </si>
  <si>
    <t>012</t>
  </si>
  <si>
    <t>014</t>
  </si>
  <si>
    <t>015</t>
  </si>
  <si>
    <t>019</t>
  </si>
  <si>
    <t>020</t>
  </si>
  <si>
    <t>021</t>
  </si>
  <si>
    <t>022</t>
  </si>
  <si>
    <t>024</t>
  </si>
  <si>
    <t>025</t>
  </si>
  <si>
    <t>027</t>
  </si>
  <si>
    <t>028</t>
  </si>
  <si>
    <t>029</t>
  </si>
  <si>
    <t>030</t>
  </si>
  <si>
    <t>031</t>
  </si>
  <si>
    <t>034</t>
  </si>
  <si>
    <t>036</t>
  </si>
  <si>
    <t>037</t>
  </si>
  <si>
    <t>038</t>
  </si>
  <si>
    <t>040</t>
  </si>
  <si>
    <t>041</t>
  </si>
  <si>
    <t>042</t>
  </si>
  <si>
    <t>043</t>
  </si>
  <si>
    <t>046</t>
  </si>
  <si>
    <t>047</t>
  </si>
  <si>
    <t>049</t>
  </si>
  <si>
    <t>050</t>
  </si>
  <si>
    <t>052</t>
  </si>
  <si>
    <t>054</t>
  </si>
  <si>
    <t>055</t>
  </si>
  <si>
    <t>056</t>
  </si>
  <si>
    <t>057</t>
  </si>
  <si>
    <t>058</t>
  </si>
  <si>
    <t>059</t>
  </si>
  <si>
    <t>061</t>
  </si>
  <si>
    <t>062</t>
  </si>
  <si>
    <t>066</t>
  </si>
  <si>
    <t>067</t>
  </si>
  <si>
    <t>068</t>
  </si>
  <si>
    <t>070</t>
  </si>
  <si>
    <t>071</t>
  </si>
  <si>
    <t>072</t>
  </si>
  <si>
    <t>074</t>
  </si>
  <si>
    <t>075</t>
  </si>
  <si>
    <t>077</t>
  </si>
  <si>
    <t>079</t>
  </si>
  <si>
    <t>082</t>
  </si>
  <si>
    <t>083</t>
  </si>
  <si>
    <t>084</t>
  </si>
  <si>
    <t>085</t>
  </si>
  <si>
    <t>088</t>
  </si>
  <si>
    <t>090</t>
  </si>
  <si>
    <t>091</t>
  </si>
  <si>
    <t>092</t>
  </si>
  <si>
    <t>093</t>
  </si>
  <si>
    <t>094</t>
  </si>
  <si>
    <t>095</t>
  </si>
  <si>
    <t>100</t>
  </si>
  <si>
    <t>101</t>
  </si>
  <si>
    <t>102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</si>
  <si>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</si>
  <si>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</si>
  <si>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</si>
  <si>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</si>
  <si>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</si>
  <si>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</si>
  <si>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</si>
  <si>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</si>
  <si>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</si>
  <si>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</si>
  <si>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116</t>
  </si>
  <si>
    <t>117</t>
  </si>
  <si>
    <t>120</t>
  </si>
  <si>
    <t>121</t>
  </si>
  <si>
    <t>123</t>
  </si>
  <si>
    <t>125</t>
  </si>
  <si>
    <t>126</t>
  </si>
  <si>
    <t>127</t>
  </si>
  <si>
    <t>128</t>
  </si>
  <si>
    <t>129</t>
  </si>
  <si>
    <t>130</t>
  </si>
  <si>
    <t>133</t>
  </si>
  <si>
    <t>137</t>
  </si>
  <si>
    <t>139</t>
  </si>
  <si>
    <t>140</t>
  </si>
  <si>
    <t>141</t>
  </si>
  <si>
    <t>142</t>
  </si>
  <si>
    <t>143</t>
  </si>
  <si>
    <t>145</t>
  </si>
  <si>
    <t>146</t>
  </si>
  <si>
    <t>147</t>
  </si>
  <si>
    <t>152</t>
  </si>
  <si>
    <t>153</t>
  </si>
  <si>
    <t>154</t>
  </si>
  <si>
    <t>155</t>
  </si>
  <si>
    <t>157</t>
  </si>
  <si>
    <t>161</t>
  </si>
  <si>
    <t>162</t>
  </si>
  <si>
    <t>163</t>
  </si>
  <si>
    <t>165</t>
  </si>
  <si>
    <t>166</t>
  </si>
  <si>
    <t>169</t>
  </si>
  <si>
    <t>170</t>
  </si>
  <si>
    <t>171</t>
  </si>
  <si>
    <t>174</t>
  </si>
  <si>
    <t>175</t>
  </si>
  <si>
    <t>177</t>
  </si>
  <si>
    <t>178</t>
  </si>
  <si>
    <t>179</t>
  </si>
  <si>
    <t>181</t>
  </si>
  <si>
    <t>182</t>
  </si>
  <si>
    <t>183</t>
  </si>
  <si>
    <t>184</t>
  </si>
  <si>
    <t>186</t>
  </si>
  <si>
    <t>187</t>
  </si>
  <si>
    <t>188</t>
  </si>
  <si>
    <t>191</t>
  </si>
  <si>
    <t>194</t>
  </si>
  <si>
    <t>195</t>
  </si>
  <si>
    <t>196</t>
  </si>
  <si>
    <t>199</t>
  </si>
  <si>
    <t>201</t>
  </si>
  <si>
    <t>205</t>
  </si>
  <si>
    <t>208</t>
  </si>
  <si>
    <t>210</t>
  </si>
  <si>
    <t>212</t>
  </si>
  <si>
    <t>213</t>
  </si>
  <si>
    <t>214</t>
  </si>
  <si>
    <t>218</t>
  </si>
  <si>
    <t>219</t>
  </si>
  <si>
    <t>220</t>
  </si>
  <si>
    <t>221</t>
  </si>
  <si>
    <t>223</t>
  </si>
  <si>
    <t>225</t>
  </si>
  <si>
    <t>226</t>
  </si>
  <si>
    <t>227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</si>
  <si>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</si>
  <si>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</si>
  <si>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</si>
  <si>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</si>
  <si>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</si>
  <si>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</si>
  <si>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</si>
  <si>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</si>
  <si>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</si>
  <si>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</si>
  <si>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240</t>
  </si>
  <si>
    <t>241</t>
  </si>
  <si>
    <t>242</t>
  </si>
  <si>
    <t>243</t>
  </si>
  <si>
    <t>244</t>
  </si>
  <si>
    <t>245</t>
  </si>
  <si>
    <t>246</t>
  </si>
  <si>
    <t>248</t>
  </si>
  <si>
    <t>249</t>
  </si>
  <si>
    <t>250</t>
  </si>
  <si>
    <t>251</t>
  </si>
  <si>
    <t>252</t>
  </si>
  <si>
    <t>253</t>
  </si>
  <si>
    <t>000</t>
  </si>
  <si>
    <t>(ENTER YOUR COUNTY NUMBER ABOVE)</t>
  </si>
  <si>
    <t>333</t>
  </si>
  <si>
    <t>EXAMPLE</t>
  </si>
  <si>
    <t>GRANT R</t>
  </si>
  <si>
    <t>DSA</t>
  </si>
  <si>
    <t>GRANT W</t>
  </si>
  <si>
    <t>TOTAL
(less JJAEP)</t>
  </si>
  <si>
    <t>Total, 
FY18 State Aid</t>
  </si>
  <si>
    <t>GRANT</t>
  </si>
  <si>
    <t>A - State Aid</t>
  </si>
  <si>
    <t>B - Border</t>
  </si>
  <si>
    <t>D - Harris</t>
  </si>
  <si>
    <t>M - SNDP</t>
  </si>
  <si>
    <t>S - Prev &amp; Int</t>
  </si>
  <si>
    <t>T - Prev &amp; Int: Truancy</t>
  </si>
  <si>
    <t>R - Regionalization</t>
  </si>
  <si>
    <t>DATE</t>
  </si>
  <si>
    <t>SUBMITTED BY</t>
  </si>
  <si>
    <t>FUNDING CATEGORY</t>
  </si>
  <si>
    <t>Justification/Comments</t>
  </si>
  <si>
    <t>TYPE OF REQUEST</t>
  </si>
  <si>
    <t>REQUESTS</t>
  </si>
  <si>
    <t>PURCHASE &gt; $8,000</t>
  </si>
  <si>
    <t>SALARY INCREASE &gt; 8%</t>
  </si>
  <si>
    <t>OTHER</t>
  </si>
  <si>
    <t>FOR TJJD USE ONLY:</t>
  </si>
  <si>
    <t>BUDGET CATEGORY</t>
  </si>
  <si>
    <t>CI - Court Intake</t>
  </si>
  <si>
    <t>DS - Direct Supervision</t>
  </si>
  <si>
    <t>YS - Youth Services</t>
  </si>
  <si>
    <t>BPS - Basic Prob. Svcs</t>
  </si>
  <si>
    <t>CP - Comm. Programs</t>
  </si>
  <si>
    <t>PPA - Pre/Post Adjud.</t>
  </si>
  <si>
    <t>CD - Commitment Diversion</t>
  </si>
  <si>
    <t>MHS - MH Services</t>
  </si>
  <si>
    <t>MHA - MH Assessments</t>
  </si>
  <si>
    <t>CBPMH - Comm. Prgs: MH</t>
  </si>
  <si>
    <t>CBPG - Comm. Prgs: General</t>
  </si>
  <si>
    <t>RP - Residential Prgs &amp; Svcs</t>
  </si>
  <si>
    <t>PANS - Post-Adj: Non-Secure</t>
  </si>
  <si>
    <t>PAS - Post-Adj: Secure</t>
  </si>
  <si>
    <t>DPA - Detention/Pre-Adj.</t>
  </si>
  <si>
    <t>RMHP - Residential MH Plmt</t>
  </si>
  <si>
    <t>SUB CATEGORY</t>
  </si>
  <si>
    <t>S&amp;F - Salaries &amp; Fringe</t>
  </si>
  <si>
    <t>T&amp;T - Travel &amp; Training</t>
  </si>
  <si>
    <t>OP - Operating Expenses</t>
  </si>
  <si>
    <t>ICC - Inter-County Contracts</t>
  </si>
  <si>
    <t>EC - External Contracts</t>
  </si>
  <si>
    <t>CATEGORIES:</t>
  </si>
  <si>
    <t>FUNDING</t>
  </si>
  <si>
    <t>BUDGET</t>
  </si>
  <si>
    <t>SUB</t>
  </si>
  <si>
    <t>TOTAL</t>
  </si>
  <si>
    <t>BALANCE ??</t>
  </si>
  <si>
    <t>REVIEWED:</t>
  </si>
  <si>
    <t>APPROVED / DECLINED:</t>
  </si>
  <si>
    <t>GRANT MANAGER UPDATE:</t>
  </si>
  <si>
    <t>FY2006 match requirement:</t>
  </si>
  <si>
    <t>FY1994 match requirement:</t>
  </si>
  <si>
    <t>VARIANCE (contract):</t>
  </si>
  <si>
    <t>VARIANCE (law):</t>
  </si>
  <si>
    <t>Date:</t>
  </si>
  <si>
    <t>Initials:</t>
  </si>
  <si>
    <t>Comments:</t>
  </si>
  <si>
    <t>FINAL REVIEW:</t>
  </si>
  <si>
    <t>Approved/Declined:</t>
  </si>
  <si>
    <t>REGION</t>
  </si>
  <si>
    <t>SIZE</t>
  </si>
  <si>
    <t>FY1994 MATCH</t>
  </si>
  <si>
    <t>FY2006 MATCH</t>
  </si>
  <si>
    <t>NORTHEAST</t>
  </si>
  <si>
    <t>SMALL</t>
  </si>
  <si>
    <t>WEST</t>
  </si>
  <si>
    <t>SOUTHEAST</t>
  </si>
  <si>
    <t>MEDIUM</t>
  </si>
  <si>
    <t>CENTRAL</t>
  </si>
  <si>
    <t>PANHANDLE</t>
  </si>
  <si>
    <t>LARGE</t>
  </si>
  <si>
    <t>URBAN</t>
  </si>
  <si>
    <t>SOUTH</t>
  </si>
  <si>
    <t>NORTH</t>
  </si>
  <si>
    <t>PROGRAM / APPLICATION</t>
  </si>
  <si>
    <t>PROBATION SERVICES MANAGEMENT</t>
  </si>
  <si>
    <t>FISCAL GRANT ADMINISTRATOR</t>
  </si>
  <si>
    <t>GRANT MONITOR</t>
  </si>
  <si>
    <t>INCREASE</t>
  </si>
  <si>
    <t>LB - Local</t>
  </si>
  <si>
    <t>FY</t>
  </si>
  <si>
    <t>FISCAL YEAR</t>
  </si>
  <si>
    <t>Expenditures for above FY</t>
  </si>
  <si>
    <r>
      <t xml:space="preserve">DECREASE </t>
    </r>
    <r>
      <rPr>
        <sz val="8"/>
        <color theme="1"/>
        <rFont val="Calibri"/>
        <family val="2"/>
        <scheme val="minor"/>
      </rPr>
      <t>(-)</t>
    </r>
  </si>
  <si>
    <r>
      <rPr>
        <b/>
        <sz val="11"/>
        <color theme="1"/>
        <rFont val="Calibri"/>
        <family val="2"/>
        <scheme val="minor"/>
      </rPr>
      <t xml:space="preserve">Waiver of Financial Match Requirements.
</t>
    </r>
    <r>
      <rPr>
        <sz val="11"/>
        <color theme="1"/>
        <rFont val="Calibri"/>
        <family val="2"/>
        <scheme val="minor"/>
      </rPr>
      <t xml:space="preserve">At the request of the Grantee, TJJD may approve a waiver of the financial match requirement, as described in the State Aid and Targeted Grants Contract, provided that:
1. The Grantee demonstrates that local or county funding for juvenile services has not been supplanted by funding received under all state grants; 
2. The Grantee certifies that local juvenile justice expenditures in the previous fiscal year were equal to or greater than those made in fiscal year 1994; and 
3. TJJD determines that the Grantee is otherwise in compliance with the terms of the State Aid and Targeted Grants Contract.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</si>
</sst>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  <numFmt numFmtId="166" formatCode="[$-409]d\-mmm\-yy;@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</font>
    <font>
      <i/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7">
    <xf numFmtId="0" fontId="0" fillId="0" borderId="0" xfId="0"/>
    <xf numFmtId="44" fontId="0" fillId="0" borderId="0" xfId="1" applyFont="1"/>
    <xf numFmtId="0" fontId="3" fillId="0" borderId="0" xfId="0" applyFont="1"/>
    <xf numFmtId="44" fontId="6" fillId="4" borderId="12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5" fillId="0" borderId="12" xfId="0" applyFont="1" applyBorder="1" applyAlignment="1"/>
    <xf numFmtId="164" fontId="5" fillId="0" borderId="12" xfId="1" applyNumberFormat="1" applyFont="1" applyBorder="1" applyAlignment="1"/>
    <xf numFmtId="0" fontId="5" fillId="0" borderId="0" xfId="0" applyFont="1" applyBorder="1"/>
    <xf numFmtId="164" fontId="7" fillId="0" borderId="12" xfId="1" applyNumberFormat="1" applyFont="1" applyBorder="1" applyAlignment="1"/>
    <xf numFmtId="0" fontId="8" fillId="0" borderId="0" xfId="0" applyFont="1" applyBorder="1"/>
    <xf numFmtId="0" fontId="8" fillId="0" borderId="0" xfId="0" applyFont="1"/>
    <xf numFmtId="0" fontId="4" fillId="4" borderId="12" xfId="0" applyFont="1" applyFill="1" applyBorder="1" applyAlignment="1"/>
    <xf numFmtId="164" fontId="4" fillId="4" borderId="12" xfId="1" applyNumberFormat="1" applyFont="1" applyFill="1" applyBorder="1" applyAlignment="1"/>
    <xf numFmtId="0" fontId="5" fillId="0" borderId="0" xfId="0" applyFont="1" applyBorder="1" applyAlignment="1"/>
    <xf numFmtId="164" fontId="5" fillId="0" borderId="0" xfId="1" applyNumberFormat="1" applyFont="1" applyBorder="1" applyAlignment="1"/>
    <xf numFmtId="44" fontId="5" fillId="0" borderId="0" xfId="1" applyNumberFormat="1" applyFont="1" applyBorder="1" applyAlignment="1"/>
    <xf numFmtId="164" fontId="7" fillId="0" borderId="0" xfId="1" applyNumberFormat="1" applyFont="1" applyBorder="1" applyAlignment="1"/>
    <xf numFmtId="0" fontId="0" fillId="0" borderId="0" xfId="0" applyBorder="1" applyAlignment="1"/>
    <xf numFmtId="165" fontId="8" fillId="0" borderId="12" xfId="0" applyNumberFormat="1" applyFont="1" applyBorder="1"/>
    <xf numFmtId="0" fontId="0" fillId="0" borderId="0" xfId="0" applyFill="1" applyBorder="1" applyAlignment="1"/>
    <xf numFmtId="0" fontId="2" fillId="0" borderId="12" xfId="0" applyFont="1" applyBorder="1"/>
    <xf numFmtId="0" fontId="9" fillId="5" borderId="12" xfId="0" applyFont="1" applyFill="1" applyBorder="1" applyAlignment="1">
      <alignment horizontal="center" vertical="center"/>
    </xf>
    <xf numFmtId="49" fontId="5" fillId="0" borderId="12" xfId="0" applyNumberFormat="1" applyFont="1" applyBorder="1" applyAlignment="1"/>
    <xf numFmtId="49" fontId="5" fillId="0" borderId="0" xfId="0" applyNumberFormat="1" applyFont="1" applyBorder="1" applyAlignment="1"/>
    <xf numFmtId="49" fontId="4" fillId="4" borderId="12" xfId="0" applyNumberFormat="1" applyFont="1" applyFill="1" applyBorder="1" applyAlignment="1"/>
    <xf numFmtId="0" fontId="10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8" borderId="24" xfId="0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8" borderId="26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8" borderId="29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8" borderId="30" xfId="0" applyFont="1" applyFill="1" applyBorder="1" applyAlignment="1">
      <alignment horizontal="center" vertical="center" wrapText="1"/>
    </xf>
    <xf numFmtId="49" fontId="14" fillId="9" borderId="12" xfId="1" applyNumberFormat="1" applyFont="1" applyFill="1" applyBorder="1" applyAlignment="1">
      <alignment horizontal="center" vertical="center" wrapText="1"/>
    </xf>
    <xf numFmtId="44" fontId="14" fillId="9" borderId="12" xfId="1" applyFont="1" applyFill="1" applyBorder="1" applyAlignment="1">
      <alignment horizontal="center" vertical="center" wrapText="1"/>
    </xf>
    <xf numFmtId="44" fontId="15" fillId="9" borderId="12" xfId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/>
    <xf numFmtId="0" fontId="5" fillId="0" borderId="12" xfId="0" applyFont="1" applyFill="1" applyBorder="1" applyAlignment="1"/>
    <xf numFmtId="164" fontId="7" fillId="0" borderId="12" xfId="1" applyNumberFormat="1" applyFont="1" applyFill="1" applyBorder="1" applyAlignment="1"/>
    <xf numFmtId="49" fontId="16" fillId="0" borderId="12" xfId="0" applyNumberFormat="1" applyFont="1" applyFill="1" applyBorder="1" applyAlignment="1"/>
    <xf numFmtId="0" fontId="16" fillId="0" borderId="12" xfId="0" applyFont="1" applyFill="1" applyBorder="1" applyAlignment="1"/>
    <xf numFmtId="164" fontId="17" fillId="0" borderId="12" xfId="1" applyNumberFormat="1" applyFont="1" applyFill="1" applyBorder="1" applyAlignment="1"/>
    <xf numFmtId="164" fontId="18" fillId="0" borderId="12" xfId="1" applyNumberFormat="1" applyFont="1" applyFill="1" applyBorder="1" applyAlignment="1"/>
    <xf numFmtId="164" fontId="19" fillId="0" borderId="12" xfId="1" applyNumberFormat="1" applyFont="1" applyFill="1" applyBorder="1" applyAlignment="1"/>
    <xf numFmtId="164" fontId="17" fillId="0" borderId="12" xfId="1" applyNumberFormat="1" applyFont="1" applyBorder="1" applyAlignment="1"/>
    <xf numFmtId="0" fontId="0" fillId="4" borderId="4" xfId="0" applyFill="1" applyBorder="1"/>
    <xf numFmtId="0" fontId="0" fillId="4" borderId="6" xfId="0" applyFill="1" applyBorder="1"/>
    <xf numFmtId="0" fontId="2" fillId="3" borderId="0" xfId="0" applyFont="1" applyFill="1" applyBorder="1"/>
    <xf numFmtId="0" fontId="0" fillId="4" borderId="2" xfId="0" applyFill="1" applyBorder="1"/>
    <xf numFmtId="44" fontId="0" fillId="4" borderId="3" xfId="1" applyFont="1" applyFill="1" applyBorder="1"/>
    <xf numFmtId="0" fontId="2" fillId="0" borderId="0" xfId="0" applyFont="1"/>
    <xf numFmtId="44" fontId="2" fillId="0" borderId="0" xfId="1" applyFont="1"/>
    <xf numFmtId="0" fontId="0" fillId="0" borderId="31" xfId="0" applyBorder="1"/>
    <xf numFmtId="0" fontId="2" fillId="4" borderId="1" xfId="0" applyFont="1" applyFill="1" applyBorder="1"/>
    <xf numFmtId="0" fontId="0" fillId="4" borderId="3" xfId="0" applyFill="1" applyBorder="1"/>
    <xf numFmtId="0" fontId="22" fillId="4" borderId="1" xfId="0" applyFont="1" applyFill="1" applyBorder="1"/>
    <xf numFmtId="0" fontId="8" fillId="4" borderId="12" xfId="0" applyFont="1" applyFill="1" applyBorder="1"/>
    <xf numFmtId="0" fontId="8" fillId="4" borderId="9" xfId="0" applyFont="1" applyFill="1" applyBorder="1"/>
    <xf numFmtId="0" fontId="8" fillId="4" borderId="34" xfId="0" applyFont="1" applyFill="1" applyBorder="1"/>
    <xf numFmtId="0" fontId="8" fillId="4" borderId="33" xfId="0" applyFont="1" applyFill="1" applyBorder="1"/>
    <xf numFmtId="44" fontId="14" fillId="10" borderId="12" xfId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/>
    <xf numFmtId="0" fontId="18" fillId="0" borderId="12" xfId="0" applyFont="1" applyFill="1" applyBorder="1" applyAlignment="1"/>
    <xf numFmtId="44" fontId="23" fillId="0" borderId="12" xfId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/>
    <xf numFmtId="0" fontId="24" fillId="4" borderId="12" xfId="0" applyFont="1" applyFill="1" applyBorder="1"/>
    <xf numFmtId="44" fontId="24" fillId="4" borderId="12" xfId="0" applyNumberFormat="1" applyFont="1" applyFill="1" applyBorder="1"/>
    <xf numFmtId="0" fontId="24" fillId="0" borderId="0" xfId="0" applyFont="1" applyFill="1" applyBorder="1"/>
    <xf numFmtId="44" fontId="24" fillId="0" borderId="0" xfId="0" applyNumberFormat="1" applyFont="1" applyFill="1" applyBorder="1"/>
    <xf numFmtId="0" fontId="8" fillId="4" borderId="33" xfId="0" applyFont="1" applyFill="1" applyBorder="1" applyAlignment="1">
      <alignment horizontal="left"/>
    </xf>
    <xf numFmtId="0" fontId="8" fillId="4" borderId="12" xfId="0" applyFont="1" applyFill="1" applyBorder="1" applyProtection="1">
      <protection locked="0"/>
    </xf>
    <xf numFmtId="0" fontId="8" fillId="4" borderId="9" xfId="0" applyFont="1" applyFill="1" applyBorder="1" applyProtection="1">
      <protection locked="0"/>
    </xf>
    <xf numFmtId="0" fontId="8" fillId="4" borderId="35" xfId="0" applyFont="1" applyFill="1" applyBorder="1" applyProtection="1">
      <protection locked="0"/>
    </xf>
    <xf numFmtId="0" fontId="8" fillId="4" borderId="10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44" fontId="0" fillId="4" borderId="5" xfId="1" applyFont="1" applyFill="1" applyBorder="1" applyProtection="1">
      <protection locked="0"/>
    </xf>
    <xf numFmtId="0" fontId="0" fillId="4" borderId="7" xfId="0" applyFill="1" applyBorder="1" applyProtection="1">
      <protection locked="0"/>
    </xf>
    <xf numFmtId="44" fontId="0" fillId="4" borderId="8" xfId="1" applyFont="1" applyFill="1" applyBorder="1" applyProtection="1">
      <protection locked="0"/>
    </xf>
    <xf numFmtId="0" fontId="0" fillId="2" borderId="12" xfId="0" applyFill="1" applyBorder="1" applyProtection="1">
      <protection locked="0"/>
    </xf>
    <xf numFmtId="44" fontId="2" fillId="2" borderId="12" xfId="1" applyFont="1" applyFill="1" applyBorder="1" applyProtection="1">
      <protection locked="0"/>
    </xf>
    <xf numFmtId="0" fontId="0" fillId="2" borderId="32" xfId="0" applyFill="1" applyBorder="1" applyProtection="1">
      <protection locked="0"/>
    </xf>
    <xf numFmtId="44" fontId="2" fillId="2" borderId="32" xfId="1" applyFont="1" applyFill="1" applyBorder="1" applyProtection="1">
      <protection locked="0"/>
    </xf>
    <xf numFmtId="0" fontId="0" fillId="0" borderId="0" xfId="0" applyFont="1" applyFill="1" applyBorder="1" applyAlignment="1">
      <alignment horizontal="left"/>
    </xf>
    <xf numFmtId="49" fontId="0" fillId="2" borderId="11" xfId="0" applyNumberFormat="1" applyFont="1" applyFill="1" applyBorder="1" applyAlignment="1" applyProtection="1">
      <alignment horizontal="left"/>
      <protection locked="0"/>
    </xf>
    <xf numFmtId="166" fontId="0" fillId="2" borderId="11" xfId="0" applyNumberFormat="1" applyFont="1" applyFill="1" applyBorder="1" applyAlignment="1" applyProtection="1">
      <alignment horizontal="left"/>
      <protection locked="0"/>
    </xf>
    <xf numFmtId="44" fontId="0" fillId="2" borderId="11" xfId="1" applyFont="1" applyFill="1" applyBorder="1" applyAlignment="1" applyProtection="1">
      <alignment horizontal="left"/>
      <protection locked="0"/>
    </xf>
    <xf numFmtId="44" fontId="0" fillId="4" borderId="11" xfId="1" applyFont="1" applyFill="1" applyBorder="1" applyAlignment="1">
      <alignment horizontal="left"/>
    </xf>
    <xf numFmtId="49" fontId="25" fillId="0" borderId="0" xfId="0" applyNumberFormat="1" applyFont="1" applyFill="1" applyBorder="1" applyAlignment="1" applyProtection="1">
      <alignment horizontal="left"/>
      <protection locked="0"/>
    </xf>
    <xf numFmtId="49" fontId="0" fillId="0" borderId="0" xfId="0" applyNumberFormat="1" applyFont="1" applyFill="1" applyBorder="1" applyAlignment="1" applyProtection="1">
      <alignment horizontal="left"/>
      <protection locked="0"/>
    </xf>
    <xf numFmtId="166" fontId="0" fillId="0" borderId="0" xfId="0" applyNumberFormat="1" applyFont="1" applyFill="1" applyBorder="1" applyAlignment="1" applyProtection="1">
      <alignment horizontal="left"/>
      <protection locked="0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44" fontId="0" fillId="0" borderId="0" xfId="1" applyFont="1" applyFill="1" applyBorder="1"/>
    <xf numFmtId="0" fontId="0" fillId="0" borderId="0" xfId="0" applyFill="1" applyBorder="1" applyAlignment="1" applyProtection="1">
      <alignment horizontal="left"/>
      <protection locked="0"/>
    </xf>
    <xf numFmtId="0" fontId="0" fillId="2" borderId="11" xfId="0" applyFill="1" applyBorder="1" applyAlignment="1" applyProtection="1">
      <alignment horizontal="left"/>
      <protection locked="0"/>
    </xf>
    <xf numFmtId="44" fontId="0" fillId="0" borderId="0" xfId="1" applyFont="1" applyFill="1" applyBorder="1" applyAlignment="1" applyProtection="1">
      <alignment horizontal="left"/>
      <protection locked="0"/>
    </xf>
    <xf numFmtId="44" fontId="0" fillId="0" borderId="0" xfId="1" applyFont="1" applyFill="1" applyBorder="1" applyAlignment="1">
      <alignment horizontal="left"/>
    </xf>
    <xf numFmtId="0" fontId="2" fillId="0" borderId="0" xfId="0" applyFont="1" applyAlignment="1">
      <alignment wrapText="1"/>
    </xf>
    <xf numFmtId="49" fontId="0" fillId="2" borderId="11" xfId="1" applyNumberFormat="1" applyFont="1" applyFill="1" applyBorder="1" applyAlignment="1" applyProtection="1">
      <alignment horizontal="left"/>
      <protection locked="0"/>
    </xf>
    <xf numFmtId="0" fontId="12" fillId="6" borderId="2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textRotation="90" wrapText="1"/>
    </xf>
    <xf numFmtId="0" fontId="12" fillId="7" borderId="19" xfId="0" applyFont="1" applyFill="1" applyBorder="1" applyAlignment="1">
      <alignment horizontal="center" vertical="center" textRotation="90" wrapText="1"/>
    </xf>
    <xf numFmtId="0" fontId="12" fillId="7" borderId="27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3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 vertical="top" wrapText="1"/>
      <protection locked="0"/>
    </xf>
    <xf numFmtId="0" fontId="0" fillId="2" borderId="6" xfId="0" applyFill="1" applyBorder="1" applyAlignment="1" applyProtection="1">
      <alignment horizontal="left" vertical="top" wrapText="1"/>
      <protection locked="0"/>
    </xf>
    <xf numFmtId="0" fontId="0" fillId="2" borderId="7" xfId="0" applyFill="1" applyBorder="1" applyAlignment="1" applyProtection="1">
      <alignment horizontal="left" vertical="top" wrapText="1"/>
      <protection locked="0"/>
    </xf>
    <xf numFmtId="0" fontId="0" fillId="2" borderId="8" xfId="0" applyFill="1" applyBorder="1" applyAlignment="1" applyProtection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J3" sqref="J3"/>
    </sheetView>
  </sheetViews>
  <sheetFormatPr defaultRowHeight="15" x14ac:dyDescent="0.25"/>
  <cols>
    <col min="1" max="1" width="6.42578125" customWidth="1"/>
    <col min="2" max="7" width="15.7109375" customWidth="1"/>
  </cols>
  <sheetData>
    <row r="1" spans="1:7" ht="24.75" thickTop="1" thickBot="1" x14ac:dyDescent="0.3">
      <c r="A1" s="25"/>
      <c r="B1" s="26"/>
      <c r="C1" s="113" t="s">
        <v>190</v>
      </c>
      <c r="D1" s="114"/>
      <c r="E1" s="114"/>
      <c r="F1" s="114"/>
      <c r="G1" s="115"/>
    </row>
    <row r="2" spans="1:7" ht="51.75" thickBot="1" x14ac:dyDescent="0.3">
      <c r="A2" s="25"/>
      <c r="B2" s="27"/>
      <c r="C2" s="28" t="s">
        <v>191</v>
      </c>
      <c r="D2" s="29" t="s">
        <v>0</v>
      </c>
      <c r="E2" s="29" t="s">
        <v>1</v>
      </c>
      <c r="F2" s="29" t="s">
        <v>2</v>
      </c>
      <c r="G2" s="30" t="s">
        <v>5</v>
      </c>
    </row>
    <row r="3" spans="1:7" ht="27" customHeight="1" thickTop="1" thickBot="1" x14ac:dyDescent="0.3">
      <c r="A3" s="116" t="s">
        <v>192</v>
      </c>
      <c r="B3" s="31" t="s">
        <v>193</v>
      </c>
      <c r="C3" s="28" t="s">
        <v>194</v>
      </c>
      <c r="D3" s="28" t="s">
        <v>195</v>
      </c>
      <c r="E3" s="32"/>
      <c r="F3" s="32"/>
      <c r="G3" s="33"/>
    </row>
    <row r="4" spans="1:7" ht="27" customHeight="1" thickBot="1" x14ac:dyDescent="0.3">
      <c r="A4" s="117"/>
      <c r="B4" s="34" t="s">
        <v>196</v>
      </c>
      <c r="C4" s="28" t="s">
        <v>194</v>
      </c>
      <c r="D4" s="32"/>
      <c r="E4" s="32"/>
      <c r="F4" s="32"/>
      <c r="G4" s="33"/>
    </row>
    <row r="5" spans="1:7" ht="27" customHeight="1" thickBot="1" x14ac:dyDescent="0.3">
      <c r="A5" s="117"/>
      <c r="B5" s="34" t="s">
        <v>205</v>
      </c>
      <c r="C5" s="28" t="s">
        <v>194</v>
      </c>
      <c r="D5" s="28" t="s">
        <v>194</v>
      </c>
      <c r="E5" s="32"/>
      <c r="F5" s="28" t="s">
        <v>194</v>
      </c>
      <c r="G5" s="33"/>
    </row>
    <row r="6" spans="1:7" ht="27" customHeight="1" thickBot="1" x14ac:dyDescent="0.3">
      <c r="A6" s="117"/>
      <c r="B6" s="35" t="s">
        <v>197</v>
      </c>
      <c r="C6" s="36" t="s">
        <v>194</v>
      </c>
      <c r="D6" s="36" t="s">
        <v>194</v>
      </c>
      <c r="E6" s="36" t="s">
        <v>194</v>
      </c>
      <c r="F6" s="36" t="s">
        <v>194</v>
      </c>
      <c r="G6" s="35" t="s">
        <v>194</v>
      </c>
    </row>
    <row r="7" spans="1:7" ht="27" customHeight="1" thickTop="1" thickBot="1" x14ac:dyDescent="0.3">
      <c r="A7" s="117"/>
      <c r="B7" s="34" t="s">
        <v>198</v>
      </c>
      <c r="C7" s="32"/>
      <c r="D7" s="28" t="s">
        <v>194</v>
      </c>
      <c r="E7" s="32"/>
      <c r="F7" s="28" t="s">
        <v>194</v>
      </c>
      <c r="G7" s="33"/>
    </row>
    <row r="8" spans="1:7" ht="27" customHeight="1" thickBot="1" x14ac:dyDescent="0.3">
      <c r="A8" s="117"/>
      <c r="B8" s="34" t="s">
        <v>199</v>
      </c>
      <c r="C8" s="32"/>
      <c r="D8" s="28" t="s">
        <v>194</v>
      </c>
      <c r="E8" s="32"/>
      <c r="F8" s="28" t="s">
        <v>194</v>
      </c>
      <c r="G8" s="34" t="s">
        <v>194</v>
      </c>
    </row>
    <row r="9" spans="1:7" ht="27" customHeight="1" thickBot="1" x14ac:dyDescent="0.3">
      <c r="A9" s="117"/>
      <c r="B9" s="35" t="s">
        <v>204</v>
      </c>
      <c r="C9" s="37"/>
      <c r="D9" s="37"/>
      <c r="E9" s="36" t="s">
        <v>194</v>
      </c>
      <c r="F9" s="36" t="s">
        <v>194</v>
      </c>
      <c r="G9" s="35" t="s">
        <v>194</v>
      </c>
    </row>
    <row r="10" spans="1:7" ht="27" customHeight="1" thickTop="1" thickBot="1" x14ac:dyDescent="0.3">
      <c r="A10" s="117"/>
      <c r="B10" s="34" t="s">
        <v>200</v>
      </c>
      <c r="C10" s="32"/>
      <c r="D10" s="32"/>
      <c r="E10" s="28" t="s">
        <v>194</v>
      </c>
      <c r="F10" s="28" t="s">
        <v>194</v>
      </c>
      <c r="G10" s="33"/>
    </row>
    <row r="11" spans="1:7" ht="27" customHeight="1" thickBot="1" x14ac:dyDescent="0.3">
      <c r="A11" s="117"/>
      <c r="B11" s="34" t="s">
        <v>201</v>
      </c>
      <c r="C11" s="32"/>
      <c r="D11" s="32"/>
      <c r="E11" s="28" t="s">
        <v>194</v>
      </c>
      <c r="F11" s="28" t="s">
        <v>194</v>
      </c>
      <c r="G11" s="33"/>
    </row>
    <row r="12" spans="1:7" ht="27" customHeight="1" thickBot="1" x14ac:dyDescent="0.3">
      <c r="A12" s="117"/>
      <c r="B12" s="38" t="s">
        <v>203</v>
      </c>
      <c r="C12" s="39"/>
      <c r="D12" s="40"/>
      <c r="E12" s="41" t="s">
        <v>194</v>
      </c>
      <c r="F12" s="40"/>
      <c r="G12" s="42"/>
    </row>
    <row r="13" spans="1:7" ht="27" customHeight="1" thickBot="1" x14ac:dyDescent="0.3">
      <c r="A13" s="118"/>
      <c r="B13" s="43" t="s">
        <v>202</v>
      </c>
      <c r="C13" s="44"/>
      <c r="D13" s="44"/>
      <c r="E13" s="45" t="s">
        <v>194</v>
      </c>
      <c r="F13" s="45" t="s">
        <v>194</v>
      </c>
      <c r="G13" s="46" t="s">
        <v>194</v>
      </c>
    </row>
    <row r="14" spans="1:7" ht="15.75" thickTop="1" x14ac:dyDescent="0.25"/>
  </sheetData>
  <sheetProtection password="D8B3" sheet="1" objects="1" scenarios="1"/>
  <mergeCells count="2">
    <mergeCell ref="C1:G1"/>
    <mergeCell ref="A3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71"/>
  <sheetViews>
    <sheetView zoomScale="80" zoomScaleNormal="8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J146" sqref="J146"/>
    </sheetView>
  </sheetViews>
  <sheetFormatPr defaultRowHeight="15" x14ac:dyDescent="0.25"/>
  <cols>
    <col min="1" max="1" width="12.7109375" style="23" customWidth="1"/>
    <col min="2" max="2" width="12.7109375" style="13" customWidth="1"/>
    <col min="3" max="8" width="12.7109375" style="14" customWidth="1"/>
    <col min="9" max="9" width="18.85546875" style="15" bestFit="1" customWidth="1"/>
    <col min="10" max="10" width="12.7109375" style="7" customWidth="1"/>
    <col min="11" max="11" width="12.7109375" style="16" customWidth="1"/>
    <col min="12" max="19" width="12.7109375" customWidth="1"/>
    <col min="20" max="20" width="16.5703125" bestFit="1" customWidth="1"/>
    <col min="21" max="21" width="14.28515625" style="16" bestFit="1" customWidth="1"/>
  </cols>
  <sheetData>
    <row r="1" spans="1:22" s="4" customFormat="1" ht="51" customHeight="1" x14ac:dyDescent="0.25">
      <c r="A1" s="47" t="s">
        <v>12</v>
      </c>
      <c r="B1" s="48" t="s">
        <v>6</v>
      </c>
      <c r="C1" s="48" t="s">
        <v>7</v>
      </c>
      <c r="D1" s="48" t="s">
        <v>0</v>
      </c>
      <c r="E1" s="48" t="s">
        <v>8</v>
      </c>
      <c r="F1" s="48" t="s">
        <v>2</v>
      </c>
      <c r="G1" s="48" t="s">
        <v>5</v>
      </c>
      <c r="H1" s="48" t="s">
        <v>9</v>
      </c>
      <c r="I1" s="48" t="s">
        <v>377</v>
      </c>
      <c r="J1" s="49" t="s">
        <v>10</v>
      </c>
      <c r="K1" s="49" t="s">
        <v>374</v>
      </c>
      <c r="L1" s="49" t="s">
        <v>13</v>
      </c>
      <c r="M1" s="49" t="s">
        <v>14</v>
      </c>
      <c r="N1" s="49" t="s">
        <v>15</v>
      </c>
      <c r="O1" s="49" t="s">
        <v>16</v>
      </c>
      <c r="P1" s="49" t="s">
        <v>373</v>
      </c>
      <c r="Q1" s="49" t="s">
        <v>17</v>
      </c>
      <c r="R1" s="49" t="s">
        <v>18</v>
      </c>
      <c r="S1" s="49" t="s">
        <v>375</v>
      </c>
      <c r="T1" s="49" t="s">
        <v>376</v>
      </c>
      <c r="U1" s="3" t="s">
        <v>189</v>
      </c>
      <c r="V1"/>
    </row>
    <row r="2" spans="1:22" ht="15.75" x14ac:dyDescent="0.25">
      <c r="A2" s="22" t="s">
        <v>369</v>
      </c>
      <c r="B2" s="5" t="s">
        <v>370</v>
      </c>
      <c r="C2" s="6"/>
      <c r="D2" s="6"/>
      <c r="E2" s="6"/>
      <c r="F2" s="6"/>
      <c r="G2" s="6"/>
      <c r="H2" s="6"/>
      <c r="I2" s="6"/>
      <c r="K2" s="8"/>
      <c r="L2" s="52"/>
      <c r="N2" s="18"/>
      <c r="O2" s="18"/>
      <c r="P2" s="18"/>
      <c r="Q2" s="18"/>
      <c r="R2" s="18"/>
      <c r="S2" s="18"/>
      <c r="T2" s="18"/>
      <c r="U2" s="8"/>
      <c r="V2" s="17"/>
    </row>
    <row r="3" spans="1:22" x14ac:dyDescent="0.25">
      <c r="A3" s="50" t="s">
        <v>371</v>
      </c>
      <c r="B3" s="51" t="s">
        <v>372</v>
      </c>
      <c r="C3" s="6">
        <v>33172</v>
      </c>
      <c r="D3" s="6">
        <v>35488</v>
      </c>
      <c r="E3" s="6">
        <v>20652</v>
      </c>
      <c r="F3" s="6">
        <v>15595</v>
      </c>
      <c r="G3" s="6">
        <v>12805</v>
      </c>
      <c r="H3" s="6">
        <v>20342</v>
      </c>
      <c r="I3" s="6">
        <f>SUM(C3:H3)</f>
        <v>138054</v>
      </c>
      <c r="J3" s="52">
        <v>42675</v>
      </c>
      <c r="K3" s="52">
        <v>41465</v>
      </c>
      <c r="L3" s="52"/>
      <c r="M3" s="52"/>
      <c r="N3" s="52"/>
      <c r="O3" s="52"/>
      <c r="P3" s="52">
        <v>15250</v>
      </c>
      <c r="Q3" s="52"/>
      <c r="R3" s="52"/>
      <c r="S3" s="52">
        <v>50000</v>
      </c>
      <c r="T3" s="52">
        <f>I3+SUM(K3:S3)-O3</f>
        <v>244769</v>
      </c>
      <c r="U3" s="8">
        <v>275963</v>
      </c>
      <c r="V3" s="17"/>
    </row>
    <row r="4" spans="1:22" x14ac:dyDescent="0.25">
      <c r="A4" s="50" t="s">
        <v>186</v>
      </c>
      <c r="B4" s="51" t="s">
        <v>4</v>
      </c>
      <c r="C4" s="56">
        <v>105032</v>
      </c>
      <c r="D4" s="56">
        <v>100555</v>
      </c>
      <c r="E4" s="56">
        <v>10486</v>
      </c>
      <c r="F4" s="56">
        <v>13744</v>
      </c>
      <c r="G4" s="56">
        <v>29978</v>
      </c>
      <c r="H4" s="56">
        <v>86599</v>
      </c>
      <c r="I4" s="6">
        <f t="shared" ref="I4:I67" si="0">SUM(C4:H4)</f>
        <v>346394</v>
      </c>
      <c r="J4" s="57">
        <v>164179</v>
      </c>
      <c r="K4" s="52"/>
      <c r="L4" s="52"/>
      <c r="M4" s="52"/>
      <c r="N4" s="52"/>
      <c r="O4" s="52"/>
      <c r="P4" s="52"/>
      <c r="Q4" s="52"/>
      <c r="R4" s="52"/>
      <c r="S4" s="52"/>
      <c r="T4" s="52">
        <f t="shared" ref="T4:T67" si="1">I4+SUM(K4:S4)-O4</f>
        <v>346394</v>
      </c>
      <c r="U4" s="8">
        <v>385383</v>
      </c>
      <c r="V4" s="17" t="s">
        <v>4</v>
      </c>
    </row>
    <row r="5" spans="1:22" x14ac:dyDescent="0.25">
      <c r="A5" s="50" t="s">
        <v>187</v>
      </c>
      <c r="B5" s="51" t="s">
        <v>19</v>
      </c>
      <c r="C5" s="56">
        <v>18285</v>
      </c>
      <c r="D5" s="56">
        <v>32820</v>
      </c>
      <c r="E5" s="56">
        <v>43116</v>
      </c>
      <c r="F5" s="56">
        <v>7744</v>
      </c>
      <c r="G5" s="56">
        <v>26793</v>
      </c>
      <c r="H5" s="56">
        <v>42919</v>
      </c>
      <c r="I5" s="6">
        <f t="shared" si="0"/>
        <v>171677</v>
      </c>
      <c r="J5" s="57">
        <v>28549</v>
      </c>
      <c r="K5" s="52"/>
      <c r="L5" s="52"/>
      <c r="M5" s="52"/>
      <c r="N5" s="52"/>
      <c r="O5" s="52"/>
      <c r="P5" s="52"/>
      <c r="Q5" s="52"/>
      <c r="R5" s="52"/>
      <c r="S5" s="52"/>
      <c r="T5" s="52">
        <f t="shared" si="1"/>
        <v>171677</v>
      </c>
      <c r="U5" s="8">
        <v>263546.94</v>
      </c>
      <c r="V5" s="17" t="s">
        <v>19</v>
      </c>
    </row>
    <row r="6" spans="1:22" x14ac:dyDescent="0.25">
      <c r="A6" s="50" t="s">
        <v>188</v>
      </c>
      <c r="B6" s="51" t="s">
        <v>20</v>
      </c>
      <c r="C6" s="56">
        <v>115823</v>
      </c>
      <c r="D6" s="56">
        <v>45821</v>
      </c>
      <c r="E6" s="56">
        <v>189511</v>
      </c>
      <c r="F6" s="56">
        <v>78264</v>
      </c>
      <c r="G6" s="56">
        <v>61699</v>
      </c>
      <c r="H6" s="56">
        <v>163706</v>
      </c>
      <c r="I6" s="6">
        <f t="shared" si="0"/>
        <v>654824</v>
      </c>
      <c r="J6" s="57">
        <v>174943</v>
      </c>
      <c r="K6" s="52"/>
      <c r="L6" s="52"/>
      <c r="M6" s="52"/>
      <c r="N6" s="52">
        <v>56490</v>
      </c>
      <c r="O6" s="52"/>
      <c r="P6" s="52"/>
      <c r="Q6" s="52"/>
      <c r="R6" s="52"/>
      <c r="S6" s="52"/>
      <c r="T6" s="52">
        <f t="shared" si="1"/>
        <v>711314</v>
      </c>
      <c r="U6" s="8">
        <v>711624</v>
      </c>
      <c r="V6" s="17" t="s">
        <v>20</v>
      </c>
    </row>
    <row r="7" spans="1:22" x14ac:dyDescent="0.25">
      <c r="A7" s="50" t="s">
        <v>206</v>
      </c>
      <c r="B7" s="51" t="s">
        <v>21</v>
      </c>
      <c r="C7" s="56">
        <v>117823</v>
      </c>
      <c r="D7" s="56">
        <v>138257</v>
      </c>
      <c r="E7" s="56">
        <v>18094</v>
      </c>
      <c r="F7" s="56">
        <v>21750</v>
      </c>
      <c r="G7" s="56">
        <v>64635</v>
      </c>
      <c r="H7" s="56">
        <v>120187</v>
      </c>
      <c r="I7" s="6">
        <f t="shared" si="0"/>
        <v>480746</v>
      </c>
      <c r="J7" s="57">
        <v>184173</v>
      </c>
      <c r="K7" s="52">
        <v>56000</v>
      </c>
      <c r="L7" s="52"/>
      <c r="M7" s="52"/>
      <c r="N7" s="52"/>
      <c r="O7" s="52"/>
      <c r="P7" s="52"/>
      <c r="Q7" s="52"/>
      <c r="R7" s="52"/>
      <c r="S7" s="52">
        <v>50000</v>
      </c>
      <c r="T7" s="52">
        <f t="shared" si="1"/>
        <v>586746</v>
      </c>
      <c r="U7" s="8">
        <v>1399016.07</v>
      </c>
      <c r="V7" s="17" t="s">
        <v>21</v>
      </c>
    </row>
    <row r="8" spans="1:22" x14ac:dyDescent="0.25">
      <c r="A8" s="50" t="s">
        <v>207</v>
      </c>
      <c r="B8" s="51" t="s">
        <v>22</v>
      </c>
      <c r="C8" s="56">
        <v>56182</v>
      </c>
      <c r="D8" s="56">
        <v>49651</v>
      </c>
      <c r="E8" s="56">
        <v>36961</v>
      </c>
      <c r="F8" s="56">
        <v>8096</v>
      </c>
      <c r="G8" s="56">
        <v>4742</v>
      </c>
      <c r="H8" s="56">
        <v>51878</v>
      </c>
      <c r="I8" s="6">
        <f t="shared" si="0"/>
        <v>207510</v>
      </c>
      <c r="J8" s="57">
        <v>87820</v>
      </c>
      <c r="K8" s="52">
        <v>15000</v>
      </c>
      <c r="L8" s="52"/>
      <c r="M8" s="52"/>
      <c r="N8" s="52"/>
      <c r="O8" s="52"/>
      <c r="P8" s="52"/>
      <c r="Q8" s="52"/>
      <c r="R8" s="52"/>
      <c r="S8" s="52"/>
      <c r="T8" s="52">
        <f t="shared" si="1"/>
        <v>222510</v>
      </c>
      <c r="U8" s="8">
        <v>93488.2</v>
      </c>
      <c r="V8" s="17" t="s">
        <v>22</v>
      </c>
    </row>
    <row r="9" spans="1:22" x14ac:dyDescent="0.25">
      <c r="A9" s="50" t="s">
        <v>208</v>
      </c>
      <c r="B9" s="51" t="s">
        <v>23</v>
      </c>
      <c r="C9" s="6">
        <v>39139</v>
      </c>
      <c r="D9" s="6">
        <v>59809</v>
      </c>
      <c r="E9" s="6">
        <v>3379</v>
      </c>
      <c r="F9" s="6">
        <v>4071</v>
      </c>
      <c r="G9" s="6">
        <v>2717</v>
      </c>
      <c r="H9" s="6">
        <v>36372</v>
      </c>
      <c r="I9" s="6">
        <f t="shared" si="0"/>
        <v>145487</v>
      </c>
      <c r="J9" s="57">
        <v>61179</v>
      </c>
      <c r="K9" s="52"/>
      <c r="L9" s="52"/>
      <c r="M9" s="52"/>
      <c r="N9" s="52"/>
      <c r="O9" s="52"/>
      <c r="P9" s="52"/>
      <c r="Q9" s="52"/>
      <c r="R9" s="52"/>
      <c r="S9" s="52"/>
      <c r="T9" s="52">
        <f t="shared" si="1"/>
        <v>145487</v>
      </c>
      <c r="U9" s="8">
        <v>35762.949999999997</v>
      </c>
      <c r="V9" s="17" t="s">
        <v>23</v>
      </c>
    </row>
    <row r="10" spans="1:22" x14ac:dyDescent="0.25">
      <c r="A10" s="50" t="s">
        <v>209</v>
      </c>
      <c r="B10" s="51" t="s">
        <v>24</v>
      </c>
      <c r="C10" s="6">
        <v>26234</v>
      </c>
      <c r="D10" s="6">
        <v>85219</v>
      </c>
      <c r="E10" s="6">
        <v>0</v>
      </c>
      <c r="F10" s="6">
        <v>7875</v>
      </c>
      <c r="G10" s="6">
        <v>3871</v>
      </c>
      <c r="H10" s="6">
        <v>41066</v>
      </c>
      <c r="I10" s="6">
        <f t="shared" si="0"/>
        <v>164265</v>
      </c>
      <c r="J10" s="57">
        <v>41008</v>
      </c>
      <c r="K10" s="52"/>
      <c r="L10" s="52"/>
      <c r="M10" s="52"/>
      <c r="N10" s="52"/>
      <c r="O10" s="52"/>
      <c r="P10" s="52"/>
      <c r="Q10" s="52"/>
      <c r="R10" s="52"/>
      <c r="S10" s="52"/>
      <c r="T10" s="52">
        <f t="shared" si="1"/>
        <v>164265</v>
      </c>
      <c r="U10" s="8">
        <v>98229.82</v>
      </c>
      <c r="V10" s="17" t="s">
        <v>24</v>
      </c>
    </row>
    <row r="11" spans="1:22" x14ac:dyDescent="0.25">
      <c r="A11" s="50" t="s">
        <v>210</v>
      </c>
      <c r="B11" s="51" t="s">
        <v>25</v>
      </c>
      <c r="C11" s="6">
        <v>255929</v>
      </c>
      <c r="D11" s="6">
        <v>187869</v>
      </c>
      <c r="E11" s="6">
        <v>65846</v>
      </c>
      <c r="F11" s="6">
        <v>111637</v>
      </c>
      <c r="G11" s="6">
        <v>46355</v>
      </c>
      <c r="H11" s="6">
        <v>222546</v>
      </c>
      <c r="I11" s="6">
        <f t="shared" si="0"/>
        <v>890182</v>
      </c>
      <c r="J11" s="58">
        <v>400052</v>
      </c>
      <c r="K11" s="52"/>
      <c r="L11" s="52"/>
      <c r="M11" s="52"/>
      <c r="N11" s="52"/>
      <c r="O11" s="52"/>
      <c r="P11" s="52"/>
      <c r="Q11" s="52">
        <v>35760</v>
      </c>
      <c r="R11" s="52"/>
      <c r="S11" s="52"/>
      <c r="T11" s="52">
        <f t="shared" si="1"/>
        <v>925942</v>
      </c>
      <c r="U11" s="8">
        <v>424746</v>
      </c>
      <c r="V11" s="17" t="s">
        <v>25</v>
      </c>
    </row>
    <row r="12" spans="1:22" x14ac:dyDescent="0.25">
      <c r="A12" s="50" t="s">
        <v>211</v>
      </c>
      <c r="B12" s="51" t="s">
        <v>26</v>
      </c>
      <c r="C12" s="6">
        <v>28595</v>
      </c>
      <c r="D12" s="6">
        <v>27046</v>
      </c>
      <c r="E12" s="6">
        <v>0</v>
      </c>
      <c r="F12" s="6">
        <v>3712</v>
      </c>
      <c r="G12" s="6">
        <v>880</v>
      </c>
      <c r="H12" s="6">
        <v>20078</v>
      </c>
      <c r="I12" s="6">
        <f t="shared" si="0"/>
        <v>80311</v>
      </c>
      <c r="J12" s="58">
        <v>44698</v>
      </c>
      <c r="K12" s="52"/>
      <c r="L12" s="52"/>
      <c r="M12" s="52"/>
      <c r="N12" s="52"/>
      <c r="O12" s="52"/>
      <c r="P12" s="52"/>
      <c r="Q12" s="52"/>
      <c r="R12" s="52"/>
      <c r="S12" s="52"/>
      <c r="T12" s="52">
        <f t="shared" si="1"/>
        <v>80311</v>
      </c>
      <c r="U12" s="8">
        <v>21553.86</v>
      </c>
      <c r="V12" s="17" t="s">
        <v>26</v>
      </c>
    </row>
    <row r="13" spans="1:22" x14ac:dyDescent="0.25">
      <c r="A13" s="50" t="s">
        <v>212</v>
      </c>
      <c r="B13" s="51" t="s">
        <v>27</v>
      </c>
      <c r="C13" s="6">
        <v>280393</v>
      </c>
      <c r="D13" s="6">
        <v>365474</v>
      </c>
      <c r="E13" s="6">
        <v>122008</v>
      </c>
      <c r="F13" s="6">
        <v>232925</v>
      </c>
      <c r="G13" s="6">
        <v>94303</v>
      </c>
      <c r="H13" s="6">
        <v>365034</v>
      </c>
      <c r="I13" s="6">
        <f t="shared" si="0"/>
        <v>1460137</v>
      </c>
      <c r="J13" s="58">
        <v>438291</v>
      </c>
      <c r="K13" s="52">
        <v>112000</v>
      </c>
      <c r="L13" s="52"/>
      <c r="M13" s="52"/>
      <c r="N13" s="52"/>
      <c r="O13" s="52"/>
      <c r="P13" s="52"/>
      <c r="Q13" s="52"/>
      <c r="R13" s="52"/>
      <c r="S13" s="52"/>
      <c r="T13" s="52">
        <f t="shared" si="1"/>
        <v>1572137</v>
      </c>
      <c r="U13" s="8">
        <v>3346509</v>
      </c>
      <c r="V13" s="17" t="s">
        <v>27</v>
      </c>
    </row>
    <row r="14" spans="1:22" x14ac:dyDescent="0.25">
      <c r="A14" s="50" t="s">
        <v>213</v>
      </c>
      <c r="B14" s="51" t="s">
        <v>28</v>
      </c>
      <c r="C14" s="6">
        <v>1638529</v>
      </c>
      <c r="D14" s="6">
        <v>1407730</v>
      </c>
      <c r="E14" s="6">
        <v>218059</v>
      </c>
      <c r="F14" s="6">
        <v>1538859</v>
      </c>
      <c r="G14" s="6">
        <v>1102918</v>
      </c>
      <c r="H14" s="6">
        <v>1968699</v>
      </c>
      <c r="I14" s="6">
        <f t="shared" si="0"/>
        <v>7874794</v>
      </c>
      <c r="J14" s="58">
        <v>2561239</v>
      </c>
      <c r="K14" s="52">
        <v>272000</v>
      </c>
      <c r="L14" s="52"/>
      <c r="M14" s="52"/>
      <c r="N14" s="52">
        <v>216511</v>
      </c>
      <c r="O14" s="52"/>
      <c r="P14" s="52"/>
      <c r="Q14" s="52">
        <v>565660</v>
      </c>
      <c r="R14" s="52"/>
      <c r="S14" s="52"/>
      <c r="T14" s="52">
        <f t="shared" si="1"/>
        <v>8928965</v>
      </c>
      <c r="U14" s="8">
        <v>23600991</v>
      </c>
      <c r="V14" s="17" t="s">
        <v>28</v>
      </c>
    </row>
    <row r="15" spans="1:22" x14ac:dyDescent="0.25">
      <c r="A15" s="50" t="s">
        <v>214</v>
      </c>
      <c r="B15" s="51" t="s">
        <v>29</v>
      </c>
      <c r="C15" s="6">
        <v>38866</v>
      </c>
      <c r="D15" s="6">
        <v>305726</v>
      </c>
      <c r="E15" s="6">
        <v>37989</v>
      </c>
      <c r="F15" s="6">
        <v>51785</v>
      </c>
      <c r="G15" s="6">
        <v>25814</v>
      </c>
      <c r="H15" s="6">
        <v>153393</v>
      </c>
      <c r="I15" s="6">
        <f t="shared" si="0"/>
        <v>613573</v>
      </c>
      <c r="J15" s="58">
        <v>60752</v>
      </c>
      <c r="K15" s="52"/>
      <c r="L15" s="52"/>
      <c r="M15" s="52"/>
      <c r="N15" s="52"/>
      <c r="O15" s="52"/>
      <c r="P15" s="52"/>
      <c r="Q15" s="52"/>
      <c r="R15" s="52"/>
      <c r="S15" s="52"/>
      <c r="T15" s="52">
        <f t="shared" si="1"/>
        <v>613573</v>
      </c>
      <c r="U15" s="8">
        <v>290790</v>
      </c>
      <c r="V15" s="17" t="s">
        <v>29</v>
      </c>
    </row>
    <row r="16" spans="1:22" x14ac:dyDescent="0.25">
      <c r="A16" s="50" t="s">
        <v>215</v>
      </c>
      <c r="B16" s="51" t="s">
        <v>30</v>
      </c>
      <c r="C16" s="6">
        <v>291644</v>
      </c>
      <c r="D16" s="6">
        <v>308708</v>
      </c>
      <c r="E16" s="6">
        <v>313554</v>
      </c>
      <c r="F16" s="6">
        <v>0</v>
      </c>
      <c r="G16" s="6">
        <v>172914</v>
      </c>
      <c r="H16" s="6">
        <v>362274</v>
      </c>
      <c r="I16" s="6">
        <f t="shared" si="0"/>
        <v>1449094</v>
      </c>
      <c r="J16" s="58">
        <v>450723</v>
      </c>
      <c r="K16" s="52"/>
      <c r="L16" s="52"/>
      <c r="M16" s="52"/>
      <c r="N16" s="52"/>
      <c r="O16" s="52"/>
      <c r="P16" s="52"/>
      <c r="Q16" s="52"/>
      <c r="R16" s="52"/>
      <c r="S16" s="52"/>
      <c r="T16" s="52">
        <f t="shared" si="1"/>
        <v>1449094</v>
      </c>
      <c r="U16" s="8">
        <v>3652923.48</v>
      </c>
      <c r="V16" s="17" t="s">
        <v>30</v>
      </c>
    </row>
    <row r="17" spans="1:22" x14ac:dyDescent="0.25">
      <c r="A17" s="50" t="s">
        <v>216</v>
      </c>
      <c r="B17" s="51" t="s">
        <v>31</v>
      </c>
      <c r="C17" s="6">
        <v>143104</v>
      </c>
      <c r="D17" s="6">
        <v>236550</v>
      </c>
      <c r="E17" s="6">
        <v>195746</v>
      </c>
      <c r="F17" s="6">
        <v>125435</v>
      </c>
      <c r="G17" s="6">
        <v>113472</v>
      </c>
      <c r="H17" s="6">
        <v>271436</v>
      </c>
      <c r="I17" s="6">
        <f t="shared" si="0"/>
        <v>1085743</v>
      </c>
      <c r="J17" s="57">
        <v>223691</v>
      </c>
      <c r="K17" s="52">
        <v>187160</v>
      </c>
      <c r="L17" s="52"/>
      <c r="M17" s="52"/>
      <c r="N17" s="52"/>
      <c r="O17" s="52"/>
      <c r="P17" s="52"/>
      <c r="Q17" s="52"/>
      <c r="R17" s="52"/>
      <c r="S17" s="52"/>
      <c r="T17" s="52">
        <f t="shared" si="1"/>
        <v>1272903</v>
      </c>
      <c r="U17" s="8">
        <v>3813921.25</v>
      </c>
      <c r="V17" s="17" t="s">
        <v>31</v>
      </c>
    </row>
    <row r="18" spans="1:22" x14ac:dyDescent="0.25">
      <c r="A18" s="50" t="s">
        <v>217</v>
      </c>
      <c r="B18" s="51" t="s">
        <v>32</v>
      </c>
      <c r="C18" s="6">
        <v>44388</v>
      </c>
      <c r="D18" s="6">
        <v>43776</v>
      </c>
      <c r="E18" s="6">
        <v>0</v>
      </c>
      <c r="F18" s="6">
        <v>7666</v>
      </c>
      <c r="G18" s="6">
        <v>3372</v>
      </c>
      <c r="H18" s="6">
        <v>33068</v>
      </c>
      <c r="I18" s="6">
        <f t="shared" si="0"/>
        <v>132270</v>
      </c>
      <c r="J18" s="57">
        <v>69385</v>
      </c>
      <c r="K18" s="52"/>
      <c r="L18" s="52"/>
      <c r="M18" s="52"/>
      <c r="N18" s="52"/>
      <c r="O18" s="52"/>
      <c r="P18" s="52"/>
      <c r="Q18" s="52"/>
      <c r="R18" s="52"/>
      <c r="S18" s="52"/>
      <c r="T18" s="52">
        <f t="shared" si="1"/>
        <v>132270</v>
      </c>
      <c r="U18" s="8">
        <v>52345</v>
      </c>
      <c r="V18" s="17" t="s">
        <v>32</v>
      </c>
    </row>
    <row r="19" spans="1:22" x14ac:dyDescent="0.25">
      <c r="A19" s="50" t="s">
        <v>218</v>
      </c>
      <c r="B19" s="51" t="s">
        <v>33</v>
      </c>
      <c r="C19" s="6">
        <v>30806</v>
      </c>
      <c r="D19" s="6">
        <v>24147</v>
      </c>
      <c r="E19" s="6">
        <v>17499</v>
      </c>
      <c r="F19" s="6">
        <v>8580</v>
      </c>
      <c r="G19" s="6">
        <v>7268</v>
      </c>
      <c r="H19" s="6">
        <v>29433</v>
      </c>
      <c r="I19" s="6">
        <f t="shared" si="0"/>
        <v>117733</v>
      </c>
      <c r="J19" s="57">
        <v>48155</v>
      </c>
      <c r="K19" s="52"/>
      <c r="L19" s="52"/>
      <c r="M19" s="52"/>
      <c r="N19" s="52"/>
      <c r="O19" s="52"/>
      <c r="P19" s="52"/>
      <c r="Q19" s="52">
        <v>52800</v>
      </c>
      <c r="R19" s="52"/>
      <c r="S19" s="52"/>
      <c r="T19" s="52">
        <f t="shared" si="1"/>
        <v>170533</v>
      </c>
      <c r="U19" s="8">
        <v>121265.69</v>
      </c>
      <c r="V19" s="17" t="s">
        <v>33</v>
      </c>
    </row>
    <row r="20" spans="1:22" x14ac:dyDescent="0.25">
      <c r="A20" s="50" t="s">
        <v>219</v>
      </c>
      <c r="B20" s="51" t="s">
        <v>34</v>
      </c>
      <c r="C20" s="6">
        <v>106143</v>
      </c>
      <c r="D20" s="6">
        <v>95581</v>
      </c>
      <c r="E20" s="6">
        <v>8879</v>
      </c>
      <c r="F20" s="6">
        <v>11777</v>
      </c>
      <c r="G20" s="6">
        <v>17374</v>
      </c>
      <c r="H20" s="6">
        <v>79918</v>
      </c>
      <c r="I20" s="6">
        <f t="shared" si="0"/>
        <v>319672</v>
      </c>
      <c r="J20" s="57">
        <v>165915</v>
      </c>
      <c r="K20" s="52"/>
      <c r="L20" s="52"/>
      <c r="M20" s="52"/>
      <c r="N20" s="52"/>
      <c r="O20" s="52"/>
      <c r="P20" s="52"/>
      <c r="Q20" s="52"/>
      <c r="R20" s="52"/>
      <c r="S20" s="52"/>
      <c r="T20" s="52">
        <f t="shared" si="1"/>
        <v>319672</v>
      </c>
      <c r="U20" s="8">
        <v>142500</v>
      </c>
      <c r="V20" s="17" t="s">
        <v>34</v>
      </c>
    </row>
    <row r="21" spans="1:22" x14ac:dyDescent="0.25">
      <c r="A21" s="50" t="s">
        <v>220</v>
      </c>
      <c r="B21" s="51" t="s">
        <v>35</v>
      </c>
      <c r="C21" s="6">
        <v>88109</v>
      </c>
      <c r="D21" s="6">
        <v>153058</v>
      </c>
      <c r="E21" s="6">
        <v>106836</v>
      </c>
      <c r="F21" s="6">
        <v>8381</v>
      </c>
      <c r="G21" s="6">
        <v>56059</v>
      </c>
      <c r="H21" s="6">
        <v>137481</v>
      </c>
      <c r="I21" s="6">
        <f t="shared" si="0"/>
        <v>549924</v>
      </c>
      <c r="J21" s="57">
        <v>137725</v>
      </c>
      <c r="K21" s="52"/>
      <c r="L21" s="52"/>
      <c r="M21" s="52"/>
      <c r="N21" s="52"/>
      <c r="O21" s="52"/>
      <c r="P21" s="52"/>
      <c r="Q21" s="52">
        <v>16612</v>
      </c>
      <c r="R21" s="52"/>
      <c r="S21" s="52"/>
      <c r="T21" s="52">
        <f t="shared" si="1"/>
        <v>566536</v>
      </c>
      <c r="U21" s="8">
        <v>433763.05</v>
      </c>
      <c r="V21" s="17" t="s">
        <v>35</v>
      </c>
    </row>
    <row r="22" spans="1:22" x14ac:dyDescent="0.25">
      <c r="A22" s="50" t="s">
        <v>221</v>
      </c>
      <c r="B22" s="51" t="s">
        <v>36</v>
      </c>
      <c r="C22" s="6">
        <v>98646</v>
      </c>
      <c r="D22" s="6">
        <v>89940</v>
      </c>
      <c r="E22" s="6">
        <v>48362</v>
      </c>
      <c r="F22" s="6">
        <v>30060</v>
      </c>
      <c r="G22" s="6">
        <v>25759</v>
      </c>
      <c r="H22" s="6">
        <v>97589</v>
      </c>
      <c r="I22" s="6">
        <f t="shared" si="0"/>
        <v>390356</v>
      </c>
      <c r="J22" s="57">
        <v>154197</v>
      </c>
      <c r="K22" s="52"/>
      <c r="L22" s="52"/>
      <c r="M22" s="52"/>
      <c r="N22" s="52"/>
      <c r="O22" s="52"/>
      <c r="P22" s="52"/>
      <c r="Q22" s="52"/>
      <c r="R22" s="52"/>
      <c r="S22" s="52"/>
      <c r="T22" s="52">
        <f t="shared" si="1"/>
        <v>390356</v>
      </c>
      <c r="U22" s="8">
        <v>184290</v>
      </c>
      <c r="V22" s="17" t="s">
        <v>36</v>
      </c>
    </row>
    <row r="23" spans="1:22" x14ac:dyDescent="0.25">
      <c r="A23" s="50" t="s">
        <v>222</v>
      </c>
      <c r="B23" s="51" t="s">
        <v>37</v>
      </c>
      <c r="C23" s="6">
        <v>54717</v>
      </c>
      <c r="D23" s="6">
        <v>61208</v>
      </c>
      <c r="E23" s="6">
        <v>14902</v>
      </c>
      <c r="F23" s="6">
        <v>20862</v>
      </c>
      <c r="G23" s="6">
        <v>16413</v>
      </c>
      <c r="H23" s="6">
        <v>56034</v>
      </c>
      <c r="I23" s="6">
        <f t="shared" si="0"/>
        <v>224136</v>
      </c>
      <c r="J23" s="57">
        <v>85529</v>
      </c>
      <c r="K23" s="52">
        <v>56000</v>
      </c>
      <c r="L23" s="52"/>
      <c r="M23" s="52"/>
      <c r="N23" s="52"/>
      <c r="O23" s="52"/>
      <c r="P23" s="52"/>
      <c r="Q23" s="52"/>
      <c r="R23" s="52"/>
      <c r="S23" s="52"/>
      <c r="T23" s="52">
        <f t="shared" si="1"/>
        <v>280136</v>
      </c>
      <c r="U23" s="8">
        <v>245671</v>
      </c>
      <c r="V23" s="17" t="s">
        <v>37</v>
      </c>
    </row>
    <row r="24" spans="1:22" x14ac:dyDescent="0.25">
      <c r="A24" s="50" t="s">
        <v>223</v>
      </c>
      <c r="B24" s="51" t="s">
        <v>38</v>
      </c>
      <c r="C24" s="6">
        <v>7034</v>
      </c>
      <c r="D24" s="6">
        <v>20158</v>
      </c>
      <c r="E24" s="6">
        <v>0</v>
      </c>
      <c r="F24" s="6">
        <v>15828</v>
      </c>
      <c r="G24" s="6">
        <v>1804</v>
      </c>
      <c r="H24" s="6">
        <v>14941</v>
      </c>
      <c r="I24" s="6">
        <f t="shared" si="0"/>
        <v>59765</v>
      </c>
      <c r="J24" s="57">
        <v>10995</v>
      </c>
      <c r="K24" s="52"/>
      <c r="L24" s="52"/>
      <c r="M24" s="52"/>
      <c r="N24" s="52"/>
      <c r="O24" s="52"/>
      <c r="P24" s="52"/>
      <c r="Q24" s="52"/>
      <c r="R24" s="52"/>
      <c r="S24" s="52"/>
      <c r="T24" s="52">
        <f t="shared" si="1"/>
        <v>59765</v>
      </c>
      <c r="U24" s="8">
        <v>6000</v>
      </c>
      <c r="V24" s="17" t="s">
        <v>38</v>
      </c>
    </row>
    <row r="25" spans="1:22" x14ac:dyDescent="0.25">
      <c r="A25" s="50" t="s">
        <v>224</v>
      </c>
      <c r="B25" s="51" t="s">
        <v>39</v>
      </c>
      <c r="C25" s="6">
        <v>331034</v>
      </c>
      <c r="D25" s="6">
        <v>606604</v>
      </c>
      <c r="E25" s="6">
        <v>605584</v>
      </c>
      <c r="F25" s="6">
        <v>218511</v>
      </c>
      <c r="G25" s="6">
        <v>205422</v>
      </c>
      <c r="H25" s="6">
        <v>655719</v>
      </c>
      <c r="I25" s="6">
        <f t="shared" si="0"/>
        <v>2622874</v>
      </c>
      <c r="J25" s="57">
        <v>517450</v>
      </c>
      <c r="K25" s="52"/>
      <c r="L25" s="52">
        <v>24954</v>
      </c>
      <c r="M25" s="52"/>
      <c r="N25" s="52">
        <v>107163</v>
      </c>
      <c r="O25" s="52"/>
      <c r="P25" s="52"/>
      <c r="Q25" s="52">
        <v>121848</v>
      </c>
      <c r="R25" s="52"/>
      <c r="S25" s="52"/>
      <c r="T25" s="52">
        <f t="shared" si="1"/>
        <v>2876839</v>
      </c>
      <c r="U25" s="8">
        <v>4726662.84</v>
      </c>
      <c r="V25" s="17" t="s">
        <v>39</v>
      </c>
    </row>
    <row r="26" spans="1:22" x14ac:dyDescent="0.25">
      <c r="A26" s="50" t="s">
        <v>225</v>
      </c>
      <c r="B26" s="51" t="s">
        <v>40</v>
      </c>
      <c r="C26" s="6">
        <v>93967</v>
      </c>
      <c r="D26" s="6">
        <v>79430</v>
      </c>
      <c r="E26" s="6">
        <v>5017</v>
      </c>
      <c r="F26" s="6">
        <v>9657</v>
      </c>
      <c r="G26" s="6">
        <v>6888</v>
      </c>
      <c r="H26" s="6">
        <v>64986</v>
      </c>
      <c r="I26" s="6">
        <f t="shared" si="0"/>
        <v>259945</v>
      </c>
      <c r="J26" s="57">
        <v>146882</v>
      </c>
      <c r="K26" s="52"/>
      <c r="L26" s="52"/>
      <c r="M26" s="52"/>
      <c r="N26" s="52"/>
      <c r="O26" s="52"/>
      <c r="P26" s="52"/>
      <c r="Q26" s="52"/>
      <c r="R26" s="52"/>
      <c r="S26" s="52"/>
      <c r="T26" s="52">
        <f t="shared" si="1"/>
        <v>259945</v>
      </c>
      <c r="U26" s="8">
        <v>63251</v>
      </c>
      <c r="V26" s="17" t="s">
        <v>40</v>
      </c>
    </row>
    <row r="27" spans="1:22" x14ac:dyDescent="0.25">
      <c r="A27" s="50" t="s">
        <v>226</v>
      </c>
      <c r="B27" s="51" t="s">
        <v>41</v>
      </c>
      <c r="C27" s="6">
        <v>66236</v>
      </c>
      <c r="D27" s="6">
        <v>62661</v>
      </c>
      <c r="E27" s="6">
        <v>0</v>
      </c>
      <c r="F27" s="6">
        <v>0</v>
      </c>
      <c r="G27" s="6">
        <v>3569</v>
      </c>
      <c r="H27" s="6">
        <v>44155</v>
      </c>
      <c r="I27" s="6">
        <f t="shared" si="0"/>
        <v>176621</v>
      </c>
      <c r="J27" s="57">
        <v>103536</v>
      </c>
      <c r="K27" s="52"/>
      <c r="L27" s="52"/>
      <c r="M27" s="52"/>
      <c r="N27" s="52"/>
      <c r="O27" s="52"/>
      <c r="P27" s="52"/>
      <c r="Q27" s="52"/>
      <c r="R27" s="52"/>
      <c r="S27" s="52"/>
      <c r="T27" s="52">
        <f t="shared" si="1"/>
        <v>176621</v>
      </c>
      <c r="U27" s="8">
        <v>42146.26</v>
      </c>
      <c r="V27" s="17" t="s">
        <v>41</v>
      </c>
    </row>
    <row r="28" spans="1:22" x14ac:dyDescent="0.25">
      <c r="A28" s="50" t="s">
        <v>227</v>
      </c>
      <c r="B28" s="51" t="s">
        <v>42</v>
      </c>
      <c r="C28" s="6">
        <v>133650</v>
      </c>
      <c r="D28" s="6">
        <v>173421</v>
      </c>
      <c r="E28" s="6">
        <v>2470</v>
      </c>
      <c r="F28" s="6">
        <v>43755</v>
      </c>
      <c r="G28" s="6">
        <v>28143</v>
      </c>
      <c r="H28" s="6">
        <v>127146</v>
      </c>
      <c r="I28" s="6">
        <f t="shared" si="0"/>
        <v>508585</v>
      </c>
      <c r="J28" s="57">
        <v>208913</v>
      </c>
      <c r="K28" s="52"/>
      <c r="L28" s="52"/>
      <c r="M28" s="52"/>
      <c r="N28" s="52"/>
      <c r="O28" s="52"/>
      <c r="P28" s="52"/>
      <c r="Q28" s="52"/>
      <c r="R28" s="52"/>
      <c r="S28" s="52"/>
      <c r="T28" s="52">
        <f t="shared" si="1"/>
        <v>508585</v>
      </c>
      <c r="U28" s="8">
        <v>258648</v>
      </c>
      <c r="V28" s="17" t="s">
        <v>42</v>
      </c>
    </row>
    <row r="29" spans="1:22" x14ac:dyDescent="0.25">
      <c r="A29" s="50" t="s">
        <v>228</v>
      </c>
      <c r="B29" s="51" t="s">
        <v>43</v>
      </c>
      <c r="C29" s="6">
        <v>54373</v>
      </c>
      <c r="D29" s="6">
        <v>50086</v>
      </c>
      <c r="E29" s="6">
        <v>33573</v>
      </c>
      <c r="F29" s="6">
        <v>7012</v>
      </c>
      <c r="G29" s="6">
        <v>7924</v>
      </c>
      <c r="H29" s="6">
        <v>50990</v>
      </c>
      <c r="I29" s="6">
        <f t="shared" si="0"/>
        <v>203958</v>
      </c>
      <c r="J29" s="57">
        <v>84992</v>
      </c>
      <c r="K29" s="52"/>
      <c r="L29" s="52"/>
      <c r="M29" s="52"/>
      <c r="N29" s="52"/>
      <c r="O29" s="52"/>
      <c r="P29" s="52"/>
      <c r="Q29" s="52"/>
      <c r="R29" s="52"/>
      <c r="S29" s="52"/>
      <c r="T29" s="52">
        <f t="shared" si="1"/>
        <v>203958</v>
      </c>
      <c r="U29" s="8">
        <v>27110</v>
      </c>
      <c r="V29" s="17" t="s">
        <v>43</v>
      </c>
    </row>
    <row r="30" spans="1:22" x14ac:dyDescent="0.25">
      <c r="A30" s="50" t="s">
        <v>229</v>
      </c>
      <c r="B30" s="51" t="s">
        <v>44</v>
      </c>
      <c r="C30" s="6">
        <v>13556</v>
      </c>
      <c r="D30" s="6">
        <v>16253</v>
      </c>
      <c r="E30" s="6">
        <v>0</v>
      </c>
      <c r="F30" s="6">
        <v>7735</v>
      </c>
      <c r="G30" s="6">
        <v>2418</v>
      </c>
      <c r="H30" s="6">
        <v>13321</v>
      </c>
      <c r="I30" s="6">
        <f t="shared" si="0"/>
        <v>53283</v>
      </c>
      <c r="J30" s="57">
        <v>21190</v>
      </c>
      <c r="K30" s="52"/>
      <c r="L30" s="52"/>
      <c r="M30" s="52"/>
      <c r="N30" s="52"/>
      <c r="O30" s="52"/>
      <c r="P30" s="52"/>
      <c r="Q30" s="52"/>
      <c r="R30" s="52"/>
      <c r="S30" s="52"/>
      <c r="T30" s="52">
        <f t="shared" si="1"/>
        <v>53283</v>
      </c>
      <c r="U30" s="8">
        <v>42557.18</v>
      </c>
      <c r="V30" s="17" t="s">
        <v>44</v>
      </c>
    </row>
    <row r="31" spans="1:22" x14ac:dyDescent="0.25">
      <c r="A31" s="50" t="s">
        <v>230</v>
      </c>
      <c r="B31" s="51" t="s">
        <v>45</v>
      </c>
      <c r="C31" s="6">
        <v>67708</v>
      </c>
      <c r="D31" s="6">
        <v>41273</v>
      </c>
      <c r="E31" s="6">
        <v>19640</v>
      </c>
      <c r="F31" s="6">
        <v>7233</v>
      </c>
      <c r="G31" s="6">
        <v>9759</v>
      </c>
      <c r="H31" s="6">
        <v>48538</v>
      </c>
      <c r="I31" s="6">
        <f t="shared" si="0"/>
        <v>194151</v>
      </c>
      <c r="J31" s="57">
        <v>105837</v>
      </c>
      <c r="K31" s="52"/>
      <c r="L31" s="52"/>
      <c r="M31" s="52"/>
      <c r="N31" s="52"/>
      <c r="O31" s="52"/>
      <c r="P31" s="52"/>
      <c r="Q31" s="52"/>
      <c r="R31" s="52"/>
      <c r="S31" s="52"/>
      <c r="T31" s="52">
        <f t="shared" si="1"/>
        <v>194151</v>
      </c>
      <c r="U31" s="8">
        <v>20628.61</v>
      </c>
      <c r="V31" s="17" t="s">
        <v>45</v>
      </c>
    </row>
    <row r="32" spans="1:22" x14ac:dyDescent="0.25">
      <c r="A32" s="50" t="s">
        <v>231</v>
      </c>
      <c r="B32" s="51" t="s">
        <v>46</v>
      </c>
      <c r="C32" s="6">
        <v>4878</v>
      </c>
      <c r="D32" s="6">
        <v>22079</v>
      </c>
      <c r="E32" s="6">
        <v>0</v>
      </c>
      <c r="F32" s="6">
        <v>19116</v>
      </c>
      <c r="G32" s="6">
        <v>1868</v>
      </c>
      <c r="H32" s="6">
        <v>15980</v>
      </c>
      <c r="I32" s="6">
        <f t="shared" si="0"/>
        <v>63921</v>
      </c>
      <c r="J32" s="57">
        <v>7626</v>
      </c>
      <c r="K32" s="52"/>
      <c r="L32" s="52"/>
      <c r="M32" s="52"/>
      <c r="N32" s="52"/>
      <c r="O32" s="52"/>
      <c r="P32" s="52"/>
      <c r="Q32" s="52"/>
      <c r="R32" s="52"/>
      <c r="S32" s="52"/>
      <c r="T32" s="52">
        <f t="shared" si="1"/>
        <v>63921</v>
      </c>
      <c r="U32" s="8">
        <v>6000</v>
      </c>
      <c r="V32" s="17" t="s">
        <v>46</v>
      </c>
    </row>
    <row r="33" spans="1:22" x14ac:dyDescent="0.25">
      <c r="A33" s="50" t="s">
        <v>232</v>
      </c>
      <c r="B33" s="51" t="s">
        <v>47</v>
      </c>
      <c r="C33" s="6">
        <v>692570</v>
      </c>
      <c r="D33" s="6">
        <v>641889</v>
      </c>
      <c r="E33" s="6">
        <v>28397</v>
      </c>
      <c r="F33" s="6">
        <v>0</v>
      </c>
      <c r="G33" s="6">
        <v>122120</v>
      </c>
      <c r="H33" s="6">
        <v>494992</v>
      </c>
      <c r="I33" s="6">
        <f t="shared" si="0"/>
        <v>1979968</v>
      </c>
      <c r="J33" s="57">
        <v>1082578</v>
      </c>
      <c r="K33" s="52"/>
      <c r="L33" s="52"/>
      <c r="M33" s="52"/>
      <c r="N33" s="52"/>
      <c r="O33" s="52"/>
      <c r="P33" s="52"/>
      <c r="Q33" s="52"/>
      <c r="R33" s="52"/>
      <c r="S33" s="52"/>
      <c r="T33" s="52">
        <f t="shared" si="1"/>
        <v>1979968</v>
      </c>
      <c r="U33" s="8">
        <v>5815185</v>
      </c>
      <c r="V33" s="17" t="s">
        <v>47</v>
      </c>
    </row>
    <row r="34" spans="1:22" x14ac:dyDescent="0.25">
      <c r="A34" s="50" t="s">
        <v>233</v>
      </c>
      <c r="B34" s="51" t="s">
        <v>48</v>
      </c>
      <c r="C34" s="6">
        <v>130673</v>
      </c>
      <c r="D34" s="6">
        <v>153099</v>
      </c>
      <c r="E34" s="6">
        <v>95978</v>
      </c>
      <c r="F34" s="6">
        <v>25960</v>
      </c>
      <c r="G34" s="6">
        <v>25271</v>
      </c>
      <c r="H34" s="6">
        <v>143660</v>
      </c>
      <c r="I34" s="6">
        <f t="shared" si="0"/>
        <v>574641</v>
      </c>
      <c r="J34" s="57">
        <v>204259</v>
      </c>
      <c r="K34" s="52"/>
      <c r="L34" s="52"/>
      <c r="M34" s="52"/>
      <c r="N34" s="52"/>
      <c r="O34" s="52"/>
      <c r="P34" s="52"/>
      <c r="Q34" s="52"/>
      <c r="R34" s="52">
        <v>52558</v>
      </c>
      <c r="S34" s="52"/>
      <c r="T34" s="52">
        <f t="shared" si="1"/>
        <v>627199</v>
      </c>
      <c r="U34" s="8">
        <v>452536</v>
      </c>
      <c r="V34" s="17" t="s">
        <v>48</v>
      </c>
    </row>
    <row r="35" spans="1:22" x14ac:dyDescent="0.25">
      <c r="A35" s="50" t="s">
        <v>234</v>
      </c>
      <c r="B35" s="51" t="s">
        <v>49</v>
      </c>
      <c r="C35" s="6">
        <v>113032</v>
      </c>
      <c r="D35" s="6">
        <v>86206</v>
      </c>
      <c r="E35" s="6">
        <v>4571</v>
      </c>
      <c r="F35" s="6">
        <v>9850</v>
      </c>
      <c r="G35" s="6">
        <v>6080</v>
      </c>
      <c r="H35" s="6">
        <v>73246</v>
      </c>
      <c r="I35" s="6">
        <f t="shared" si="0"/>
        <v>292985</v>
      </c>
      <c r="J35" s="57">
        <v>176684</v>
      </c>
      <c r="K35" s="52"/>
      <c r="L35" s="52"/>
      <c r="M35" s="52"/>
      <c r="N35" s="52"/>
      <c r="O35" s="52"/>
      <c r="P35" s="52"/>
      <c r="Q35" s="52"/>
      <c r="R35" s="52"/>
      <c r="S35" s="52"/>
      <c r="T35" s="52">
        <f t="shared" si="1"/>
        <v>292985</v>
      </c>
      <c r="U35" s="8">
        <v>91453.43</v>
      </c>
      <c r="V35" s="17" t="s">
        <v>49</v>
      </c>
    </row>
    <row r="36" spans="1:22" x14ac:dyDescent="0.25">
      <c r="A36" s="50" t="s">
        <v>235</v>
      </c>
      <c r="B36" s="51" t="s">
        <v>50</v>
      </c>
      <c r="C36" s="6">
        <v>98265</v>
      </c>
      <c r="D36" s="6">
        <v>39265</v>
      </c>
      <c r="E36" s="6">
        <v>30285</v>
      </c>
      <c r="F36" s="6">
        <v>16387</v>
      </c>
      <c r="G36" s="6">
        <v>29681</v>
      </c>
      <c r="H36" s="6">
        <v>71294</v>
      </c>
      <c r="I36" s="6">
        <f t="shared" si="0"/>
        <v>285177</v>
      </c>
      <c r="J36" s="57">
        <v>149436</v>
      </c>
      <c r="K36" s="52"/>
      <c r="L36" s="52"/>
      <c r="M36" s="52"/>
      <c r="N36" s="52"/>
      <c r="O36" s="52"/>
      <c r="P36" s="52"/>
      <c r="Q36" s="52"/>
      <c r="R36" s="52"/>
      <c r="S36" s="52"/>
      <c r="T36" s="52">
        <f t="shared" si="1"/>
        <v>285177</v>
      </c>
      <c r="U36" s="8">
        <v>159691</v>
      </c>
      <c r="V36" s="17" t="s">
        <v>50</v>
      </c>
    </row>
    <row r="37" spans="1:22" x14ac:dyDescent="0.25">
      <c r="A37" s="50" t="s">
        <v>236</v>
      </c>
      <c r="B37" s="51" t="s">
        <v>51</v>
      </c>
      <c r="C37" s="6">
        <v>206918</v>
      </c>
      <c r="D37" s="6">
        <v>70293</v>
      </c>
      <c r="E37" s="6">
        <v>62012</v>
      </c>
      <c r="F37" s="6">
        <v>83057</v>
      </c>
      <c r="G37" s="6">
        <v>26089</v>
      </c>
      <c r="H37" s="6">
        <v>149456</v>
      </c>
      <c r="I37" s="6">
        <f t="shared" si="0"/>
        <v>597825</v>
      </c>
      <c r="J37" s="57">
        <v>317754</v>
      </c>
      <c r="K37" s="52"/>
      <c r="L37" s="52"/>
      <c r="M37" s="52"/>
      <c r="N37" s="52"/>
      <c r="O37" s="52"/>
      <c r="P37" s="52"/>
      <c r="Q37" s="52"/>
      <c r="R37" s="52"/>
      <c r="S37" s="52"/>
      <c r="T37" s="52">
        <f t="shared" si="1"/>
        <v>597825</v>
      </c>
      <c r="U37" s="8">
        <v>315253.48</v>
      </c>
      <c r="V37" s="17" t="s">
        <v>51</v>
      </c>
    </row>
    <row r="38" spans="1:22" x14ac:dyDescent="0.25">
      <c r="A38" s="50" t="s">
        <v>237</v>
      </c>
      <c r="B38" s="51" t="s">
        <v>52</v>
      </c>
      <c r="C38" s="6">
        <v>16329</v>
      </c>
      <c r="D38" s="6">
        <v>22292</v>
      </c>
      <c r="E38" s="6">
        <v>8826</v>
      </c>
      <c r="F38" s="6">
        <v>3944</v>
      </c>
      <c r="G38" s="6">
        <v>5282</v>
      </c>
      <c r="H38" s="6">
        <v>18891</v>
      </c>
      <c r="I38" s="6">
        <f t="shared" si="0"/>
        <v>75564</v>
      </c>
      <c r="J38" s="57">
        <v>25524</v>
      </c>
      <c r="K38" s="52"/>
      <c r="L38" s="52"/>
      <c r="M38" s="52"/>
      <c r="N38" s="52"/>
      <c r="O38" s="52"/>
      <c r="P38" s="52"/>
      <c r="Q38" s="52"/>
      <c r="R38" s="52"/>
      <c r="S38" s="52"/>
      <c r="T38" s="52">
        <f t="shared" si="1"/>
        <v>75564</v>
      </c>
      <c r="U38" s="8">
        <v>63366</v>
      </c>
      <c r="V38" s="17" t="s">
        <v>52</v>
      </c>
    </row>
    <row r="39" spans="1:22" x14ac:dyDescent="0.25">
      <c r="A39" s="50" t="s">
        <v>238</v>
      </c>
      <c r="B39" s="51" t="s">
        <v>53</v>
      </c>
      <c r="C39" s="6">
        <v>23192</v>
      </c>
      <c r="D39" s="6">
        <v>14227</v>
      </c>
      <c r="E39" s="6">
        <v>9579</v>
      </c>
      <c r="F39" s="6">
        <v>9852</v>
      </c>
      <c r="G39" s="6">
        <v>2430</v>
      </c>
      <c r="H39" s="6">
        <v>19760</v>
      </c>
      <c r="I39" s="6">
        <f t="shared" si="0"/>
        <v>79040</v>
      </c>
      <c r="J39" s="57">
        <v>36252</v>
      </c>
      <c r="K39" s="52"/>
      <c r="L39" s="52"/>
      <c r="M39" s="52"/>
      <c r="N39" s="52"/>
      <c r="O39" s="52"/>
      <c r="P39" s="52"/>
      <c r="Q39" s="52">
        <v>57600</v>
      </c>
      <c r="R39" s="52"/>
      <c r="S39" s="52"/>
      <c r="T39" s="52">
        <f t="shared" si="1"/>
        <v>136640</v>
      </c>
      <c r="U39" s="8">
        <v>39221.64</v>
      </c>
      <c r="V39" s="17" t="s">
        <v>53</v>
      </c>
    </row>
    <row r="40" spans="1:22" x14ac:dyDescent="0.25">
      <c r="A40" s="50" t="s">
        <v>239</v>
      </c>
      <c r="B40" s="51" t="s">
        <v>54</v>
      </c>
      <c r="C40" s="6">
        <v>21272</v>
      </c>
      <c r="D40" s="6">
        <v>22376</v>
      </c>
      <c r="E40" s="6">
        <v>808</v>
      </c>
      <c r="F40" s="6">
        <v>10782</v>
      </c>
      <c r="G40" s="6">
        <v>3226</v>
      </c>
      <c r="H40" s="6">
        <v>19488</v>
      </c>
      <c r="I40" s="6">
        <f t="shared" si="0"/>
        <v>77952</v>
      </c>
      <c r="J40" s="57">
        <v>33251</v>
      </c>
      <c r="K40" s="52"/>
      <c r="L40" s="52"/>
      <c r="M40" s="52"/>
      <c r="N40" s="52"/>
      <c r="O40" s="52"/>
      <c r="P40" s="52"/>
      <c r="Q40" s="52"/>
      <c r="R40" s="52"/>
      <c r="S40" s="52"/>
      <c r="T40" s="52">
        <f t="shared" si="1"/>
        <v>77952</v>
      </c>
      <c r="U40" s="8">
        <v>31231.08</v>
      </c>
      <c r="V40" s="17" t="s">
        <v>54</v>
      </c>
    </row>
    <row r="41" spans="1:22" x14ac:dyDescent="0.25">
      <c r="A41" s="50" t="s">
        <v>240</v>
      </c>
      <c r="B41" s="51" t="s">
        <v>55</v>
      </c>
      <c r="C41" s="6">
        <v>43357</v>
      </c>
      <c r="D41" s="6">
        <v>45487</v>
      </c>
      <c r="E41" s="6">
        <v>0</v>
      </c>
      <c r="F41" s="6">
        <v>12127</v>
      </c>
      <c r="G41" s="6">
        <v>5521</v>
      </c>
      <c r="H41" s="6">
        <v>35497</v>
      </c>
      <c r="I41" s="6">
        <f t="shared" si="0"/>
        <v>141989</v>
      </c>
      <c r="J41" s="57">
        <v>67772</v>
      </c>
      <c r="K41" s="52"/>
      <c r="L41" s="52"/>
      <c r="M41" s="52"/>
      <c r="N41" s="52"/>
      <c r="O41" s="52"/>
      <c r="P41" s="52"/>
      <c r="Q41" s="52"/>
      <c r="R41" s="52"/>
      <c r="S41" s="52"/>
      <c r="T41" s="52">
        <f t="shared" si="1"/>
        <v>141989</v>
      </c>
      <c r="U41" s="8">
        <v>51038</v>
      </c>
      <c r="V41" s="17" t="s">
        <v>55</v>
      </c>
    </row>
    <row r="42" spans="1:22" x14ac:dyDescent="0.25">
      <c r="A42" s="50" t="s">
        <v>241</v>
      </c>
      <c r="B42" s="51" t="s">
        <v>56</v>
      </c>
      <c r="C42" s="6">
        <v>2417621</v>
      </c>
      <c r="D42" s="6">
        <v>1533440</v>
      </c>
      <c r="E42" s="6">
        <v>1200632</v>
      </c>
      <c r="F42" s="6">
        <v>1651591</v>
      </c>
      <c r="G42" s="6">
        <v>764712</v>
      </c>
      <c r="H42" s="6">
        <v>2522666</v>
      </c>
      <c r="I42" s="6">
        <f t="shared" si="0"/>
        <v>10090662</v>
      </c>
      <c r="J42" s="57">
        <v>3779063</v>
      </c>
      <c r="K42" s="52"/>
      <c r="L42" s="52"/>
      <c r="M42" s="52"/>
      <c r="N42" s="52">
        <v>239632</v>
      </c>
      <c r="O42" s="52"/>
      <c r="P42" s="52"/>
      <c r="Q42" s="52">
        <v>6930</v>
      </c>
      <c r="R42" s="52"/>
      <c r="S42" s="52"/>
      <c r="T42" s="52">
        <f t="shared" si="1"/>
        <v>10337224</v>
      </c>
      <c r="U42" s="8">
        <v>42926690.810000002</v>
      </c>
      <c r="V42" s="17" t="s">
        <v>56</v>
      </c>
    </row>
    <row r="43" spans="1:22" x14ac:dyDescent="0.25">
      <c r="A43" s="50" t="s">
        <v>242</v>
      </c>
      <c r="B43" s="51" t="s">
        <v>57</v>
      </c>
      <c r="C43" s="6">
        <v>39589</v>
      </c>
      <c r="D43" s="6">
        <v>70841</v>
      </c>
      <c r="E43" s="6">
        <v>15815</v>
      </c>
      <c r="F43" s="6">
        <v>18160</v>
      </c>
      <c r="G43" s="6">
        <v>0</v>
      </c>
      <c r="H43" s="6">
        <v>48135</v>
      </c>
      <c r="I43" s="6">
        <f t="shared" si="0"/>
        <v>192540</v>
      </c>
      <c r="J43" s="57">
        <v>61883</v>
      </c>
      <c r="K43" s="52"/>
      <c r="L43" s="52"/>
      <c r="M43" s="52"/>
      <c r="N43" s="52"/>
      <c r="O43" s="52"/>
      <c r="P43" s="52"/>
      <c r="Q43" s="52"/>
      <c r="R43" s="52"/>
      <c r="S43" s="52"/>
      <c r="T43" s="52">
        <f t="shared" si="1"/>
        <v>192540</v>
      </c>
      <c r="U43" s="8">
        <v>126648.77</v>
      </c>
      <c r="V43" s="17" t="s">
        <v>57</v>
      </c>
    </row>
    <row r="44" spans="1:22" x14ac:dyDescent="0.25">
      <c r="A44" s="50" t="s">
        <v>243</v>
      </c>
      <c r="B44" s="51" t="s">
        <v>58</v>
      </c>
      <c r="C44" s="6">
        <v>72198</v>
      </c>
      <c r="D44" s="6">
        <v>37630</v>
      </c>
      <c r="E44" s="6">
        <v>43059</v>
      </c>
      <c r="F44" s="6">
        <v>24261</v>
      </c>
      <c r="G44" s="6">
        <v>30608</v>
      </c>
      <c r="H44" s="6">
        <v>69252</v>
      </c>
      <c r="I44" s="6">
        <f t="shared" si="0"/>
        <v>277008</v>
      </c>
      <c r="J44" s="57">
        <v>111176</v>
      </c>
      <c r="K44" s="52"/>
      <c r="L44" s="52"/>
      <c r="M44" s="52"/>
      <c r="N44" s="52"/>
      <c r="O44" s="52"/>
      <c r="P44" s="52"/>
      <c r="Q44" s="52"/>
      <c r="R44" s="52"/>
      <c r="S44" s="52"/>
      <c r="T44" s="52">
        <f t="shared" si="1"/>
        <v>277008</v>
      </c>
      <c r="U44" s="8">
        <v>461584</v>
      </c>
      <c r="V44" s="17" t="s">
        <v>58</v>
      </c>
    </row>
    <row r="45" spans="1:22" x14ac:dyDescent="0.25">
      <c r="A45" s="50" t="s">
        <v>244</v>
      </c>
      <c r="B45" s="51" t="s">
        <v>59</v>
      </c>
      <c r="C45" s="6">
        <v>484404</v>
      </c>
      <c r="D45" s="6">
        <v>492131</v>
      </c>
      <c r="E45" s="6">
        <v>0</v>
      </c>
      <c r="F45" s="6">
        <v>265280</v>
      </c>
      <c r="G45" s="6">
        <v>448525</v>
      </c>
      <c r="H45" s="6">
        <v>563447</v>
      </c>
      <c r="I45" s="6">
        <f t="shared" si="0"/>
        <v>2253787</v>
      </c>
      <c r="J45" s="57">
        <v>757188</v>
      </c>
      <c r="K45" s="52">
        <v>193839</v>
      </c>
      <c r="L45" s="52"/>
      <c r="M45" s="52"/>
      <c r="N45" s="52"/>
      <c r="O45" s="52"/>
      <c r="P45" s="52"/>
      <c r="Q45" s="52"/>
      <c r="R45" s="52"/>
      <c r="S45" s="52"/>
      <c r="T45" s="52">
        <f t="shared" si="1"/>
        <v>2447626</v>
      </c>
      <c r="U45" s="8">
        <v>5734896</v>
      </c>
      <c r="V45" s="17" t="s">
        <v>59</v>
      </c>
    </row>
    <row r="46" spans="1:22" x14ac:dyDescent="0.25">
      <c r="A46" s="50" t="s">
        <v>245</v>
      </c>
      <c r="B46" s="51" t="s">
        <v>60</v>
      </c>
      <c r="C46" s="6">
        <v>47287</v>
      </c>
      <c r="D46" s="6">
        <v>50993</v>
      </c>
      <c r="E46" s="6">
        <v>36273</v>
      </c>
      <c r="F46" s="6">
        <v>12722</v>
      </c>
      <c r="G46" s="6">
        <v>15449</v>
      </c>
      <c r="H46" s="6">
        <v>54242</v>
      </c>
      <c r="I46" s="6">
        <f t="shared" si="0"/>
        <v>216966</v>
      </c>
      <c r="J46" s="57">
        <v>73916</v>
      </c>
      <c r="K46" s="52"/>
      <c r="L46" s="52"/>
      <c r="M46" s="52"/>
      <c r="N46" s="52"/>
      <c r="O46" s="52"/>
      <c r="P46" s="52"/>
      <c r="Q46" s="52"/>
      <c r="R46" s="52"/>
      <c r="S46" s="52"/>
      <c r="T46" s="52">
        <f t="shared" si="1"/>
        <v>216966</v>
      </c>
      <c r="U46" s="8">
        <v>127061.1</v>
      </c>
      <c r="V46" s="17" t="s">
        <v>60</v>
      </c>
    </row>
    <row r="47" spans="1:22" x14ac:dyDescent="0.25">
      <c r="A47" s="50" t="s">
        <v>246</v>
      </c>
      <c r="B47" s="51" t="s">
        <v>61</v>
      </c>
      <c r="C47" s="6">
        <v>43870</v>
      </c>
      <c r="D47" s="6">
        <v>65976</v>
      </c>
      <c r="E47" s="6">
        <v>22167</v>
      </c>
      <c r="F47" s="6">
        <v>7232</v>
      </c>
      <c r="G47" s="6">
        <v>33677</v>
      </c>
      <c r="H47" s="6">
        <v>57641</v>
      </c>
      <c r="I47" s="6">
        <f t="shared" si="0"/>
        <v>230563</v>
      </c>
      <c r="J47" s="57">
        <v>68574</v>
      </c>
      <c r="K47" s="52"/>
      <c r="L47" s="52"/>
      <c r="M47" s="52"/>
      <c r="N47" s="52"/>
      <c r="O47" s="52"/>
      <c r="P47" s="52"/>
      <c r="Q47" s="52"/>
      <c r="R47" s="52"/>
      <c r="S47" s="52"/>
      <c r="T47" s="52">
        <f t="shared" si="1"/>
        <v>230563</v>
      </c>
      <c r="U47" s="8">
        <v>61224</v>
      </c>
      <c r="V47" s="19" t="s">
        <v>61</v>
      </c>
    </row>
    <row r="48" spans="1:22" x14ac:dyDescent="0.25">
      <c r="A48" s="50" t="s">
        <v>247</v>
      </c>
      <c r="B48" s="51" t="s">
        <v>62</v>
      </c>
      <c r="C48" s="6">
        <v>47676</v>
      </c>
      <c r="D48" s="6">
        <v>43445</v>
      </c>
      <c r="E48" s="6">
        <v>4789</v>
      </c>
      <c r="F48" s="6">
        <v>17174</v>
      </c>
      <c r="G48" s="6">
        <v>6443</v>
      </c>
      <c r="H48" s="6">
        <v>39843</v>
      </c>
      <c r="I48" s="6">
        <f t="shared" si="0"/>
        <v>159370</v>
      </c>
      <c r="J48" s="57">
        <v>74524</v>
      </c>
      <c r="K48" s="52"/>
      <c r="L48" s="52"/>
      <c r="M48" s="52"/>
      <c r="N48" s="52"/>
      <c r="O48" s="52"/>
      <c r="P48" s="52"/>
      <c r="Q48" s="52"/>
      <c r="R48" s="52"/>
      <c r="S48" s="52"/>
      <c r="T48" s="52">
        <f t="shared" si="1"/>
        <v>159370</v>
      </c>
      <c r="U48" s="8">
        <v>15488.23</v>
      </c>
      <c r="V48" s="17" t="s">
        <v>62</v>
      </c>
    </row>
    <row r="49" spans="1:22" x14ac:dyDescent="0.25">
      <c r="A49" s="50" t="s">
        <v>248</v>
      </c>
      <c r="B49" s="51" t="s">
        <v>63</v>
      </c>
      <c r="C49" s="6">
        <v>164783</v>
      </c>
      <c r="D49" s="6">
        <v>154650</v>
      </c>
      <c r="E49" s="6">
        <v>50713</v>
      </c>
      <c r="F49" s="6">
        <v>222214</v>
      </c>
      <c r="G49" s="6">
        <v>100512</v>
      </c>
      <c r="H49" s="6">
        <v>230957</v>
      </c>
      <c r="I49" s="6">
        <f t="shared" si="0"/>
        <v>923829</v>
      </c>
      <c r="J49" s="57">
        <v>257577</v>
      </c>
      <c r="K49" s="52"/>
      <c r="L49" s="52"/>
      <c r="M49" s="52"/>
      <c r="N49" s="52"/>
      <c r="O49" s="52"/>
      <c r="P49" s="52"/>
      <c r="Q49" s="52">
        <v>77690</v>
      </c>
      <c r="R49" s="52"/>
      <c r="S49" s="52"/>
      <c r="T49" s="52">
        <f t="shared" si="1"/>
        <v>1001519</v>
      </c>
      <c r="U49" s="8">
        <v>1776649.72</v>
      </c>
      <c r="V49" s="17" t="s">
        <v>63</v>
      </c>
    </row>
    <row r="50" spans="1:22" x14ac:dyDescent="0.25">
      <c r="A50" s="50" t="s">
        <v>249</v>
      </c>
      <c r="B50" s="51" t="s">
        <v>65</v>
      </c>
      <c r="C50" s="6">
        <v>153248</v>
      </c>
      <c r="D50" s="6">
        <v>154109</v>
      </c>
      <c r="E50" s="6">
        <v>135027</v>
      </c>
      <c r="F50" s="6">
        <v>0</v>
      </c>
      <c r="G50" s="6">
        <v>46739</v>
      </c>
      <c r="H50" s="6">
        <v>163041</v>
      </c>
      <c r="I50" s="6">
        <f t="shared" si="0"/>
        <v>652164</v>
      </c>
      <c r="J50" s="57">
        <v>238760</v>
      </c>
      <c r="K50" s="52"/>
      <c r="L50" s="52"/>
      <c r="M50" s="52"/>
      <c r="N50" s="52"/>
      <c r="O50" s="52"/>
      <c r="P50" s="52"/>
      <c r="Q50" s="52">
        <v>144000</v>
      </c>
      <c r="R50" s="52"/>
      <c r="S50" s="52"/>
      <c r="T50" s="52">
        <f t="shared" si="1"/>
        <v>796164</v>
      </c>
      <c r="U50" s="8">
        <v>9736334</v>
      </c>
      <c r="V50" s="17" t="s">
        <v>64</v>
      </c>
    </row>
    <row r="51" spans="1:22" x14ac:dyDescent="0.25">
      <c r="A51" s="50" t="s">
        <v>250</v>
      </c>
      <c r="B51" s="51" t="s">
        <v>64</v>
      </c>
      <c r="C51" s="6">
        <v>608663</v>
      </c>
      <c r="D51" s="6">
        <v>1285987</v>
      </c>
      <c r="E51" s="6">
        <v>136782</v>
      </c>
      <c r="F51" s="6">
        <v>362883</v>
      </c>
      <c r="G51" s="6">
        <v>194398</v>
      </c>
      <c r="H51" s="6">
        <v>862905</v>
      </c>
      <c r="I51" s="6">
        <f t="shared" si="0"/>
        <v>3451618</v>
      </c>
      <c r="J51" s="57">
        <v>951421</v>
      </c>
      <c r="K51" s="52"/>
      <c r="L51" s="52"/>
      <c r="M51" s="52"/>
      <c r="N51" s="52">
        <v>50360</v>
      </c>
      <c r="O51" s="52"/>
      <c r="P51" s="52"/>
      <c r="Q51" s="52">
        <v>138472</v>
      </c>
      <c r="R51" s="52">
        <v>38880</v>
      </c>
      <c r="S51" s="52"/>
      <c r="T51" s="52">
        <f t="shared" si="1"/>
        <v>3679330</v>
      </c>
      <c r="U51" s="8">
        <v>751612.77</v>
      </c>
      <c r="V51" s="17" t="s">
        <v>65</v>
      </c>
    </row>
    <row r="52" spans="1:22" x14ac:dyDescent="0.25">
      <c r="A52" s="50" t="s">
        <v>251</v>
      </c>
      <c r="B52" s="51" t="s">
        <v>66</v>
      </c>
      <c r="C52" s="6">
        <v>89479</v>
      </c>
      <c r="D52" s="6">
        <v>62735</v>
      </c>
      <c r="E52" s="6">
        <v>11246</v>
      </c>
      <c r="F52" s="6">
        <v>14284</v>
      </c>
      <c r="G52" s="6">
        <v>8302</v>
      </c>
      <c r="H52" s="6">
        <v>62016</v>
      </c>
      <c r="I52" s="6">
        <f t="shared" si="0"/>
        <v>248062</v>
      </c>
      <c r="J52" s="57">
        <v>139868</v>
      </c>
      <c r="K52" s="52"/>
      <c r="L52" s="52"/>
      <c r="M52" s="52"/>
      <c r="N52" s="52"/>
      <c r="O52" s="52"/>
      <c r="P52" s="52"/>
      <c r="Q52" s="52"/>
      <c r="R52" s="52"/>
      <c r="S52" s="52"/>
      <c r="T52" s="52">
        <f t="shared" si="1"/>
        <v>248062</v>
      </c>
      <c r="U52" s="8">
        <v>52468.98</v>
      </c>
      <c r="V52" s="17" t="s">
        <v>66</v>
      </c>
    </row>
    <row r="53" spans="1:22" x14ac:dyDescent="0.25">
      <c r="A53" s="50" t="s">
        <v>252</v>
      </c>
      <c r="B53" s="51" t="s">
        <v>67</v>
      </c>
      <c r="C53" s="6">
        <v>77398</v>
      </c>
      <c r="D53" s="6">
        <v>69918</v>
      </c>
      <c r="E53" s="6">
        <v>8210</v>
      </c>
      <c r="F53" s="6">
        <v>9995</v>
      </c>
      <c r="G53" s="6">
        <v>10729</v>
      </c>
      <c r="H53" s="6">
        <v>58750</v>
      </c>
      <c r="I53" s="6">
        <f t="shared" si="0"/>
        <v>235000</v>
      </c>
      <c r="J53" s="57">
        <v>120983</v>
      </c>
      <c r="K53" s="52"/>
      <c r="L53" s="52"/>
      <c r="M53" s="52"/>
      <c r="N53" s="52"/>
      <c r="O53" s="52"/>
      <c r="P53" s="52"/>
      <c r="Q53" s="52"/>
      <c r="R53" s="52"/>
      <c r="S53" s="52"/>
      <c r="T53" s="52">
        <f t="shared" si="1"/>
        <v>235000</v>
      </c>
      <c r="U53" s="8">
        <v>108169.44</v>
      </c>
      <c r="V53" s="17" t="s">
        <v>67</v>
      </c>
    </row>
    <row r="54" spans="1:22" x14ac:dyDescent="0.25">
      <c r="A54" s="50" t="s">
        <v>253</v>
      </c>
      <c r="B54" s="51" t="s">
        <v>68</v>
      </c>
      <c r="C54" s="6">
        <v>46262</v>
      </c>
      <c r="D54" s="6">
        <v>46442</v>
      </c>
      <c r="E54" s="6">
        <v>6980</v>
      </c>
      <c r="F54" s="6">
        <v>3842</v>
      </c>
      <c r="G54" s="6">
        <v>5122</v>
      </c>
      <c r="H54" s="6">
        <v>36216</v>
      </c>
      <c r="I54" s="6">
        <f t="shared" si="0"/>
        <v>144864</v>
      </c>
      <c r="J54" s="57">
        <v>72313</v>
      </c>
      <c r="K54" s="52"/>
      <c r="L54" s="52"/>
      <c r="M54" s="52"/>
      <c r="N54" s="52"/>
      <c r="O54" s="52"/>
      <c r="P54" s="52"/>
      <c r="Q54" s="52"/>
      <c r="R54" s="52"/>
      <c r="S54" s="52"/>
      <c r="T54" s="52">
        <f t="shared" si="1"/>
        <v>144864</v>
      </c>
      <c r="U54" s="8">
        <v>52822</v>
      </c>
      <c r="V54" s="17" t="s">
        <v>68</v>
      </c>
    </row>
    <row r="55" spans="1:22" x14ac:dyDescent="0.25">
      <c r="A55" s="50" t="s">
        <v>254</v>
      </c>
      <c r="B55" s="51" t="s">
        <v>69</v>
      </c>
      <c r="C55" s="6">
        <v>64499</v>
      </c>
      <c r="D55" s="6">
        <v>43039</v>
      </c>
      <c r="E55" s="6">
        <v>0</v>
      </c>
      <c r="F55" s="6">
        <v>7425</v>
      </c>
      <c r="G55" s="6">
        <v>8112</v>
      </c>
      <c r="H55" s="6">
        <v>41025</v>
      </c>
      <c r="I55" s="6">
        <f t="shared" si="0"/>
        <v>164100</v>
      </c>
      <c r="J55" s="57">
        <v>100820</v>
      </c>
      <c r="K55" s="52"/>
      <c r="L55" s="52"/>
      <c r="M55" s="52"/>
      <c r="N55" s="52"/>
      <c r="O55" s="52"/>
      <c r="P55" s="52"/>
      <c r="Q55" s="52"/>
      <c r="R55" s="52"/>
      <c r="S55" s="52"/>
      <c r="T55" s="52">
        <f t="shared" si="1"/>
        <v>164100</v>
      </c>
      <c r="U55" s="8">
        <v>70830.13</v>
      </c>
      <c r="V55" s="17" t="s">
        <v>69</v>
      </c>
    </row>
    <row r="56" spans="1:22" x14ac:dyDescent="0.25">
      <c r="A56" s="50" t="s">
        <v>255</v>
      </c>
      <c r="B56" s="51" t="s">
        <v>70</v>
      </c>
      <c r="C56" s="6">
        <v>426329</v>
      </c>
      <c r="D56" s="6">
        <v>526461</v>
      </c>
      <c r="E56" s="6">
        <v>360310</v>
      </c>
      <c r="F56" s="6">
        <v>154060</v>
      </c>
      <c r="G56" s="6">
        <v>248524</v>
      </c>
      <c r="H56" s="6">
        <v>571895</v>
      </c>
      <c r="I56" s="6">
        <f t="shared" si="0"/>
        <v>2287579</v>
      </c>
      <c r="J56" s="57">
        <v>666409</v>
      </c>
      <c r="K56" s="52">
        <v>100000</v>
      </c>
      <c r="L56" s="52"/>
      <c r="M56" s="52"/>
      <c r="N56" s="52">
        <v>54413</v>
      </c>
      <c r="O56" s="52"/>
      <c r="P56" s="52"/>
      <c r="Q56" s="52">
        <v>61688</v>
      </c>
      <c r="R56" s="52"/>
      <c r="S56" s="52"/>
      <c r="T56" s="52">
        <f t="shared" si="1"/>
        <v>2503680</v>
      </c>
      <c r="U56" s="8">
        <v>7043694</v>
      </c>
      <c r="V56" s="17" t="s">
        <v>70</v>
      </c>
    </row>
    <row r="57" spans="1:22" x14ac:dyDescent="0.25">
      <c r="A57" s="50" t="s">
        <v>256</v>
      </c>
      <c r="B57" s="51" t="s">
        <v>71</v>
      </c>
      <c r="C57" s="6">
        <v>54382</v>
      </c>
      <c r="D57" s="6">
        <v>58644</v>
      </c>
      <c r="E57" s="6">
        <v>0</v>
      </c>
      <c r="F57" s="6">
        <v>7638</v>
      </c>
      <c r="G57" s="6">
        <v>6145</v>
      </c>
      <c r="H57" s="6">
        <v>42270</v>
      </c>
      <c r="I57" s="6">
        <f t="shared" si="0"/>
        <v>169079</v>
      </c>
      <c r="J57" s="57">
        <v>85006</v>
      </c>
      <c r="K57" s="52"/>
      <c r="L57" s="52"/>
      <c r="M57" s="52"/>
      <c r="N57" s="52"/>
      <c r="O57" s="52"/>
      <c r="P57" s="52"/>
      <c r="Q57" s="52"/>
      <c r="R57" s="52"/>
      <c r="S57" s="52"/>
      <c r="T57" s="52">
        <f t="shared" si="1"/>
        <v>169079</v>
      </c>
      <c r="U57" s="8">
        <v>195388.67</v>
      </c>
      <c r="V57" s="17" t="s">
        <v>71</v>
      </c>
    </row>
    <row r="58" spans="1:22" x14ac:dyDescent="0.25">
      <c r="A58" s="50" t="s">
        <v>257</v>
      </c>
      <c r="B58" s="51" t="s">
        <v>72</v>
      </c>
      <c r="C58" s="6">
        <v>39982</v>
      </c>
      <c r="D58" s="6">
        <v>51366</v>
      </c>
      <c r="E58" s="6">
        <v>24408</v>
      </c>
      <c r="F58" s="6">
        <v>6963</v>
      </c>
      <c r="G58" s="6">
        <v>4811</v>
      </c>
      <c r="H58" s="6">
        <v>42510</v>
      </c>
      <c r="I58" s="6">
        <f t="shared" si="0"/>
        <v>170040</v>
      </c>
      <c r="J58" s="57">
        <v>62497</v>
      </c>
      <c r="K58" s="52"/>
      <c r="L58" s="52"/>
      <c r="M58" s="52"/>
      <c r="N58" s="52"/>
      <c r="O58" s="52"/>
      <c r="P58" s="52"/>
      <c r="Q58" s="52"/>
      <c r="R58" s="52"/>
      <c r="S58" s="52"/>
      <c r="T58" s="52">
        <f t="shared" si="1"/>
        <v>170040</v>
      </c>
      <c r="U58" s="8">
        <v>122739.18</v>
      </c>
      <c r="V58" s="17" t="s">
        <v>72</v>
      </c>
    </row>
    <row r="59" spans="1:22" x14ac:dyDescent="0.25">
      <c r="A59" s="50" t="s">
        <v>258</v>
      </c>
      <c r="B59" s="51" t="s">
        <v>73</v>
      </c>
      <c r="C59" s="6">
        <v>177863</v>
      </c>
      <c r="D59" s="6">
        <v>355851</v>
      </c>
      <c r="E59" s="6">
        <v>229341</v>
      </c>
      <c r="F59" s="6">
        <v>225380</v>
      </c>
      <c r="G59" s="6">
        <v>125475</v>
      </c>
      <c r="H59" s="6">
        <v>371304</v>
      </c>
      <c r="I59" s="6">
        <f t="shared" si="0"/>
        <v>1485214</v>
      </c>
      <c r="J59" s="57">
        <v>278024</v>
      </c>
      <c r="K59" s="52">
        <v>26400</v>
      </c>
      <c r="L59" s="52"/>
      <c r="M59" s="52"/>
      <c r="N59" s="52"/>
      <c r="O59" s="52"/>
      <c r="P59" s="52"/>
      <c r="Q59" s="52"/>
      <c r="R59" s="52"/>
      <c r="S59" s="52"/>
      <c r="T59" s="52">
        <f t="shared" si="1"/>
        <v>1511614</v>
      </c>
      <c r="U59" s="8">
        <v>3913667.63</v>
      </c>
      <c r="V59" s="17" t="s">
        <v>73</v>
      </c>
    </row>
    <row r="60" spans="1:22" x14ac:dyDescent="0.25">
      <c r="A60" s="50" t="s">
        <v>259</v>
      </c>
      <c r="B60" s="51" t="s">
        <v>74</v>
      </c>
      <c r="C60" s="6">
        <v>20473</v>
      </c>
      <c r="D60" s="6">
        <v>22612</v>
      </c>
      <c r="E60" s="6">
        <v>4605</v>
      </c>
      <c r="F60" s="6">
        <v>6388</v>
      </c>
      <c r="G60" s="6">
        <v>6879</v>
      </c>
      <c r="H60" s="6">
        <v>20319</v>
      </c>
      <c r="I60" s="6">
        <f t="shared" si="0"/>
        <v>81276</v>
      </c>
      <c r="J60" s="57">
        <v>32003</v>
      </c>
      <c r="K60" s="52"/>
      <c r="L60" s="52"/>
      <c r="M60" s="52"/>
      <c r="N60" s="52"/>
      <c r="O60" s="52"/>
      <c r="P60" s="52"/>
      <c r="Q60" s="52"/>
      <c r="R60" s="52"/>
      <c r="S60" s="52"/>
      <c r="T60" s="52">
        <f t="shared" si="1"/>
        <v>81276</v>
      </c>
      <c r="U60" s="8">
        <v>47323.42</v>
      </c>
      <c r="V60" s="17" t="s">
        <v>74</v>
      </c>
    </row>
    <row r="61" spans="1:22" x14ac:dyDescent="0.25">
      <c r="A61" s="50" t="s">
        <v>260</v>
      </c>
      <c r="B61" s="51" t="s">
        <v>75</v>
      </c>
      <c r="C61" s="6">
        <v>15072</v>
      </c>
      <c r="D61" s="6">
        <v>9293</v>
      </c>
      <c r="E61" s="6">
        <v>242</v>
      </c>
      <c r="F61" s="6">
        <v>26973</v>
      </c>
      <c r="G61" s="6">
        <v>3759</v>
      </c>
      <c r="H61" s="6">
        <v>18446</v>
      </c>
      <c r="I61" s="6">
        <f t="shared" si="0"/>
        <v>73785</v>
      </c>
      <c r="J61" s="57">
        <v>23559</v>
      </c>
      <c r="K61" s="52"/>
      <c r="L61" s="52"/>
      <c r="M61" s="52"/>
      <c r="N61" s="52"/>
      <c r="O61" s="52"/>
      <c r="P61" s="52"/>
      <c r="Q61" s="52"/>
      <c r="R61" s="52"/>
      <c r="S61" s="52"/>
      <c r="T61" s="52">
        <f t="shared" si="1"/>
        <v>73785</v>
      </c>
      <c r="U61" s="8">
        <v>130892.28</v>
      </c>
      <c r="V61" s="17" t="s">
        <v>75</v>
      </c>
    </row>
    <row r="62" spans="1:22" x14ac:dyDescent="0.25">
      <c r="A62" s="50" t="s">
        <v>261</v>
      </c>
      <c r="B62" s="51" t="s">
        <v>76</v>
      </c>
      <c r="C62" s="6">
        <v>46746</v>
      </c>
      <c r="D62" s="6">
        <v>53725</v>
      </c>
      <c r="E62" s="6">
        <v>37973</v>
      </c>
      <c r="F62" s="6">
        <v>0</v>
      </c>
      <c r="G62" s="6">
        <v>25582</v>
      </c>
      <c r="H62" s="6">
        <v>54675</v>
      </c>
      <c r="I62" s="6">
        <f t="shared" si="0"/>
        <v>218701</v>
      </c>
      <c r="J62" s="57">
        <v>73071</v>
      </c>
      <c r="K62" s="52"/>
      <c r="L62" s="52"/>
      <c r="M62" s="52"/>
      <c r="N62" s="52"/>
      <c r="O62" s="52"/>
      <c r="P62" s="52"/>
      <c r="Q62" s="52"/>
      <c r="R62" s="52"/>
      <c r="S62" s="52"/>
      <c r="T62" s="52">
        <f t="shared" si="1"/>
        <v>218701</v>
      </c>
      <c r="U62" s="8">
        <v>189366</v>
      </c>
      <c r="V62" s="17" t="s">
        <v>76</v>
      </c>
    </row>
    <row r="63" spans="1:22" x14ac:dyDescent="0.25">
      <c r="A63" s="50" t="s">
        <v>262</v>
      </c>
      <c r="B63" s="51" t="s">
        <v>77</v>
      </c>
      <c r="C63" s="6">
        <v>93894</v>
      </c>
      <c r="D63" s="6">
        <v>99432</v>
      </c>
      <c r="E63" s="6">
        <v>414475</v>
      </c>
      <c r="F63" s="6">
        <v>57590</v>
      </c>
      <c r="G63" s="6">
        <v>81949</v>
      </c>
      <c r="H63" s="6">
        <v>249113</v>
      </c>
      <c r="I63" s="6">
        <f t="shared" si="0"/>
        <v>996453</v>
      </c>
      <c r="J63" s="57">
        <v>141736</v>
      </c>
      <c r="K63" s="52"/>
      <c r="L63" s="52"/>
      <c r="M63" s="52"/>
      <c r="N63" s="52"/>
      <c r="O63" s="52"/>
      <c r="P63" s="52"/>
      <c r="Q63" s="52"/>
      <c r="R63" s="52"/>
      <c r="S63" s="52"/>
      <c r="T63" s="52">
        <f t="shared" si="1"/>
        <v>996453</v>
      </c>
      <c r="U63" s="8">
        <v>816186</v>
      </c>
      <c r="V63" s="17" t="s">
        <v>77</v>
      </c>
    </row>
    <row r="64" spans="1:22" x14ac:dyDescent="0.25">
      <c r="A64" s="50" t="s">
        <v>263</v>
      </c>
      <c r="B64" s="51" t="s">
        <v>78</v>
      </c>
      <c r="C64" s="6">
        <v>116707</v>
      </c>
      <c r="D64" s="6">
        <v>86319</v>
      </c>
      <c r="E64" s="6">
        <v>327171</v>
      </c>
      <c r="F64" s="6">
        <v>76012</v>
      </c>
      <c r="G64" s="6">
        <v>24292</v>
      </c>
      <c r="H64" s="6">
        <v>210167</v>
      </c>
      <c r="I64" s="6">
        <f t="shared" si="0"/>
        <v>840668</v>
      </c>
      <c r="J64" s="57">
        <v>177047</v>
      </c>
      <c r="K64" s="52"/>
      <c r="L64" s="52"/>
      <c r="M64" s="52"/>
      <c r="N64" s="52"/>
      <c r="O64" s="52"/>
      <c r="P64" s="52"/>
      <c r="Q64" s="52"/>
      <c r="R64" s="52"/>
      <c r="S64" s="52"/>
      <c r="T64" s="52">
        <f t="shared" si="1"/>
        <v>840668</v>
      </c>
      <c r="U64" s="8">
        <v>1826302.63</v>
      </c>
      <c r="V64" s="17" t="s">
        <v>78</v>
      </c>
    </row>
    <row r="65" spans="1:22" x14ac:dyDescent="0.25">
      <c r="A65" s="50" t="s">
        <v>264</v>
      </c>
      <c r="B65" s="51" t="s">
        <v>79</v>
      </c>
      <c r="C65" s="6">
        <v>73634</v>
      </c>
      <c r="D65" s="6">
        <v>32454</v>
      </c>
      <c r="E65" s="6">
        <v>0</v>
      </c>
      <c r="F65" s="6">
        <v>37083</v>
      </c>
      <c r="G65" s="6">
        <v>8210</v>
      </c>
      <c r="H65" s="6">
        <v>50461</v>
      </c>
      <c r="I65" s="6">
        <f t="shared" si="0"/>
        <v>201842</v>
      </c>
      <c r="J65" s="57">
        <v>115099</v>
      </c>
      <c r="K65" s="52"/>
      <c r="L65" s="52"/>
      <c r="M65" s="52"/>
      <c r="N65" s="52"/>
      <c r="O65" s="52"/>
      <c r="P65" s="52"/>
      <c r="Q65" s="52"/>
      <c r="R65" s="52"/>
      <c r="S65" s="52"/>
      <c r="T65" s="52">
        <f t="shared" si="1"/>
        <v>201842</v>
      </c>
      <c r="U65" s="8">
        <v>77242.58</v>
      </c>
      <c r="V65" s="17" t="s">
        <v>79</v>
      </c>
    </row>
    <row r="66" spans="1:22" x14ac:dyDescent="0.25">
      <c r="A66" s="50" t="s">
        <v>265</v>
      </c>
      <c r="B66" s="51" t="s">
        <v>80</v>
      </c>
      <c r="C66" s="6">
        <v>123935</v>
      </c>
      <c r="D66" s="6">
        <v>159637</v>
      </c>
      <c r="E66" s="6">
        <v>69105</v>
      </c>
      <c r="F66" s="6">
        <v>94289</v>
      </c>
      <c r="G66" s="6">
        <v>107576</v>
      </c>
      <c r="H66" s="6">
        <v>184848</v>
      </c>
      <c r="I66" s="6">
        <f t="shared" si="0"/>
        <v>739390</v>
      </c>
      <c r="J66" s="57">
        <v>193727</v>
      </c>
      <c r="K66" s="52"/>
      <c r="L66" s="52"/>
      <c r="M66" s="52"/>
      <c r="N66" s="52"/>
      <c r="O66" s="52"/>
      <c r="P66" s="52"/>
      <c r="Q66" s="52">
        <v>94560</v>
      </c>
      <c r="R66" s="52"/>
      <c r="S66" s="52"/>
      <c r="T66" s="52">
        <f t="shared" si="1"/>
        <v>833950</v>
      </c>
      <c r="U66" s="8">
        <v>2089923</v>
      </c>
      <c r="V66" s="17" t="s">
        <v>80</v>
      </c>
    </row>
    <row r="67" spans="1:22" x14ac:dyDescent="0.25">
      <c r="A67" s="50" t="s">
        <v>266</v>
      </c>
      <c r="B67" s="51" t="s">
        <v>81</v>
      </c>
      <c r="C67" s="6">
        <v>38258</v>
      </c>
      <c r="D67" s="6">
        <v>65440</v>
      </c>
      <c r="E67" s="6">
        <v>111446</v>
      </c>
      <c r="F67" s="6">
        <v>26451</v>
      </c>
      <c r="G67" s="6">
        <v>18615</v>
      </c>
      <c r="H67" s="6">
        <v>86737</v>
      </c>
      <c r="I67" s="6">
        <f t="shared" si="0"/>
        <v>346947</v>
      </c>
      <c r="J67" s="57">
        <v>59802</v>
      </c>
      <c r="K67" s="52"/>
      <c r="L67" s="52"/>
      <c r="M67" s="52"/>
      <c r="N67" s="52">
        <v>42545</v>
      </c>
      <c r="O67" s="52"/>
      <c r="P67" s="52"/>
      <c r="Q67" s="52">
        <v>119924</v>
      </c>
      <c r="R67" s="52"/>
      <c r="S67" s="52">
        <v>50000</v>
      </c>
      <c r="T67" s="52">
        <f t="shared" si="1"/>
        <v>559416</v>
      </c>
      <c r="U67" s="8">
        <v>394860.34</v>
      </c>
      <c r="V67" s="17" t="s">
        <v>81</v>
      </c>
    </row>
    <row r="68" spans="1:22" x14ac:dyDescent="0.25">
      <c r="A68" s="50" t="s">
        <v>267</v>
      </c>
      <c r="B68" s="51" t="s">
        <v>82</v>
      </c>
      <c r="C68" s="6">
        <v>159076</v>
      </c>
      <c r="D68" s="6">
        <v>74300</v>
      </c>
      <c r="E68" s="6">
        <v>21010</v>
      </c>
      <c r="F68" s="6">
        <v>41971</v>
      </c>
      <c r="G68" s="6">
        <v>47541</v>
      </c>
      <c r="H68" s="6">
        <v>114633</v>
      </c>
      <c r="I68" s="6">
        <f t="shared" ref="I68:I131" si="2">SUM(C68:H68)</f>
        <v>458531</v>
      </c>
      <c r="J68" s="57">
        <v>247455</v>
      </c>
      <c r="K68" s="52"/>
      <c r="L68" s="52"/>
      <c r="M68" s="52"/>
      <c r="N68" s="52"/>
      <c r="O68" s="52"/>
      <c r="P68" s="52"/>
      <c r="Q68" s="52"/>
      <c r="R68" s="52"/>
      <c r="S68" s="52">
        <v>50000</v>
      </c>
      <c r="T68" s="52">
        <f t="shared" ref="T68:T131" si="3">I68+SUM(K68:S68)-O68</f>
        <v>508531</v>
      </c>
      <c r="U68" s="8">
        <v>369141</v>
      </c>
      <c r="V68" s="17" t="s">
        <v>82</v>
      </c>
    </row>
    <row r="69" spans="1:22" x14ac:dyDescent="0.25">
      <c r="A69" s="50" t="s">
        <v>268</v>
      </c>
      <c r="B69" s="51" t="s">
        <v>83</v>
      </c>
      <c r="C69" s="6">
        <v>15167</v>
      </c>
      <c r="D69" s="6">
        <v>5557928</v>
      </c>
      <c r="E69" s="6">
        <v>2193570</v>
      </c>
      <c r="F69" s="6">
        <v>2858875</v>
      </c>
      <c r="G69" s="6">
        <v>1381823</v>
      </c>
      <c r="H69" s="6">
        <v>4002455</v>
      </c>
      <c r="I69" s="6">
        <f t="shared" si="2"/>
        <v>16009818</v>
      </c>
      <c r="J69" s="57">
        <v>23708</v>
      </c>
      <c r="K69" s="52"/>
      <c r="L69" s="52"/>
      <c r="M69" s="52">
        <v>1000000</v>
      </c>
      <c r="N69" s="52">
        <v>260617</v>
      </c>
      <c r="O69" s="52"/>
      <c r="P69" s="52"/>
      <c r="Q69" s="52"/>
      <c r="R69" s="52"/>
      <c r="S69" s="52"/>
      <c r="T69" s="52">
        <f t="shared" si="3"/>
        <v>17270435</v>
      </c>
      <c r="U69" s="8">
        <v>54847606.270000003</v>
      </c>
      <c r="V69" s="17" t="s">
        <v>83</v>
      </c>
    </row>
    <row r="70" spans="1:22" x14ac:dyDescent="0.25">
      <c r="A70" s="50" t="s">
        <v>269</v>
      </c>
      <c r="B70" s="51" t="s">
        <v>84</v>
      </c>
      <c r="C70" s="6">
        <v>176602</v>
      </c>
      <c r="D70" s="6">
        <v>101013</v>
      </c>
      <c r="E70" s="6">
        <v>82539</v>
      </c>
      <c r="F70" s="6">
        <v>0</v>
      </c>
      <c r="G70" s="6">
        <v>32782</v>
      </c>
      <c r="H70" s="6">
        <v>130979</v>
      </c>
      <c r="I70" s="6">
        <f t="shared" si="2"/>
        <v>523915</v>
      </c>
      <c r="J70" s="57">
        <v>270753</v>
      </c>
      <c r="K70" s="52"/>
      <c r="L70" s="52"/>
      <c r="M70" s="52"/>
      <c r="N70" s="52"/>
      <c r="O70" s="52"/>
      <c r="P70" s="52"/>
      <c r="Q70" s="52"/>
      <c r="R70" s="52"/>
      <c r="S70" s="52"/>
      <c r="T70" s="52">
        <f t="shared" si="3"/>
        <v>523915</v>
      </c>
      <c r="U70" s="8">
        <v>597153</v>
      </c>
      <c r="V70" s="17" t="s">
        <v>84</v>
      </c>
    </row>
    <row r="71" spans="1:22" x14ac:dyDescent="0.25">
      <c r="A71" s="50" t="s">
        <v>270</v>
      </c>
      <c r="B71" s="51" t="s">
        <v>85</v>
      </c>
      <c r="C71" s="6">
        <v>21544</v>
      </c>
      <c r="D71" s="6">
        <v>22884</v>
      </c>
      <c r="E71" s="6">
        <v>17599</v>
      </c>
      <c r="F71" s="6">
        <v>0</v>
      </c>
      <c r="G71" s="6">
        <v>2401</v>
      </c>
      <c r="H71" s="6">
        <v>21476</v>
      </c>
      <c r="I71" s="6">
        <f t="shared" si="2"/>
        <v>85904</v>
      </c>
      <c r="J71" s="57">
        <v>33676</v>
      </c>
      <c r="K71" s="52"/>
      <c r="L71" s="52"/>
      <c r="M71" s="52"/>
      <c r="N71" s="52"/>
      <c r="O71" s="52"/>
      <c r="P71" s="52"/>
      <c r="Q71" s="52"/>
      <c r="R71" s="52"/>
      <c r="S71" s="52"/>
      <c r="T71" s="52">
        <f t="shared" si="3"/>
        <v>85904</v>
      </c>
      <c r="U71" s="8">
        <v>2560</v>
      </c>
      <c r="V71" s="17" t="s">
        <v>85</v>
      </c>
    </row>
    <row r="72" spans="1:22" x14ac:dyDescent="0.25">
      <c r="A72" s="50" t="s">
        <v>271</v>
      </c>
      <c r="B72" s="51" t="s">
        <v>86</v>
      </c>
      <c r="C72" s="6">
        <v>100796</v>
      </c>
      <c r="D72" s="6">
        <v>217220</v>
      </c>
      <c r="E72" s="6">
        <v>152090</v>
      </c>
      <c r="F72" s="6">
        <v>38046</v>
      </c>
      <c r="G72" s="6">
        <v>94627</v>
      </c>
      <c r="H72" s="6">
        <v>200926</v>
      </c>
      <c r="I72" s="6">
        <f t="shared" si="2"/>
        <v>803705</v>
      </c>
      <c r="J72" s="57">
        <v>157557</v>
      </c>
      <c r="K72" s="52"/>
      <c r="L72" s="52"/>
      <c r="M72" s="52"/>
      <c r="N72" s="52">
        <v>48965</v>
      </c>
      <c r="O72" s="52"/>
      <c r="P72" s="52"/>
      <c r="Q72" s="52"/>
      <c r="R72" s="52"/>
      <c r="S72" s="52"/>
      <c r="T72" s="52">
        <f t="shared" si="3"/>
        <v>852670</v>
      </c>
      <c r="U72" s="8">
        <v>735020</v>
      </c>
      <c r="V72" s="17" t="s">
        <v>86</v>
      </c>
    </row>
    <row r="73" spans="1:22" x14ac:dyDescent="0.25">
      <c r="A73" s="50" t="s">
        <v>272</v>
      </c>
      <c r="B73" s="51" t="s">
        <v>87</v>
      </c>
      <c r="C73" s="6">
        <v>80751</v>
      </c>
      <c r="D73" s="6">
        <v>73033</v>
      </c>
      <c r="E73" s="6">
        <v>88499</v>
      </c>
      <c r="F73" s="6">
        <v>20004</v>
      </c>
      <c r="G73" s="6">
        <v>24929</v>
      </c>
      <c r="H73" s="6">
        <v>95739</v>
      </c>
      <c r="I73" s="6">
        <f t="shared" si="2"/>
        <v>382955</v>
      </c>
      <c r="J73" s="57">
        <v>126225</v>
      </c>
      <c r="K73" s="52"/>
      <c r="L73" s="52"/>
      <c r="M73" s="52"/>
      <c r="N73" s="52"/>
      <c r="O73" s="52"/>
      <c r="P73" s="52"/>
      <c r="Q73" s="52"/>
      <c r="R73" s="52"/>
      <c r="S73" s="52"/>
      <c r="T73" s="52">
        <f t="shared" si="3"/>
        <v>382955</v>
      </c>
      <c r="U73" s="8">
        <v>222558.97</v>
      </c>
      <c r="V73" s="17" t="s">
        <v>87</v>
      </c>
    </row>
    <row r="74" spans="1:22" x14ac:dyDescent="0.25">
      <c r="A74" s="50" t="s">
        <v>273</v>
      </c>
      <c r="B74" s="51" t="s">
        <v>88</v>
      </c>
      <c r="C74" s="6">
        <v>845721</v>
      </c>
      <c r="D74" s="6">
        <v>181535</v>
      </c>
      <c r="E74" s="6">
        <v>490417</v>
      </c>
      <c r="F74" s="6">
        <v>428323</v>
      </c>
      <c r="G74" s="6">
        <v>352383</v>
      </c>
      <c r="H74" s="6">
        <v>766126</v>
      </c>
      <c r="I74" s="6">
        <f t="shared" si="2"/>
        <v>3064505</v>
      </c>
      <c r="J74" s="57">
        <v>1274391</v>
      </c>
      <c r="K74" s="52"/>
      <c r="L74" s="52"/>
      <c r="M74" s="52"/>
      <c r="N74" s="52">
        <v>97384</v>
      </c>
      <c r="O74" s="52"/>
      <c r="P74" s="52"/>
      <c r="Q74" s="52"/>
      <c r="R74" s="52"/>
      <c r="S74" s="52"/>
      <c r="T74" s="52">
        <f t="shared" si="3"/>
        <v>3161889</v>
      </c>
      <c r="U74" s="8">
        <v>5838098.8099999996</v>
      </c>
      <c r="V74" s="17" t="s">
        <v>88</v>
      </c>
    </row>
    <row r="75" spans="1:22" x14ac:dyDescent="0.25">
      <c r="A75" s="50" t="s">
        <v>274</v>
      </c>
      <c r="B75" s="51" t="s">
        <v>89</v>
      </c>
      <c r="C75" s="6">
        <v>84819</v>
      </c>
      <c r="D75" s="6">
        <v>55898</v>
      </c>
      <c r="E75" s="6">
        <v>44733</v>
      </c>
      <c r="F75" s="6">
        <v>54607</v>
      </c>
      <c r="G75" s="6">
        <v>10549</v>
      </c>
      <c r="H75" s="6">
        <v>83536</v>
      </c>
      <c r="I75" s="6">
        <f t="shared" si="2"/>
        <v>334142</v>
      </c>
      <c r="J75" s="57">
        <v>132584</v>
      </c>
      <c r="K75" s="52">
        <v>52000</v>
      </c>
      <c r="L75" s="52"/>
      <c r="M75" s="52"/>
      <c r="N75" s="52"/>
      <c r="O75" s="52"/>
      <c r="P75" s="52"/>
      <c r="Q75" s="52">
        <v>22395</v>
      </c>
      <c r="R75" s="52"/>
      <c r="S75" s="52">
        <v>50000</v>
      </c>
      <c r="T75" s="52">
        <f t="shared" si="3"/>
        <v>458537</v>
      </c>
      <c r="U75" s="8">
        <v>50460.58</v>
      </c>
      <c r="V75" s="17" t="s">
        <v>89</v>
      </c>
    </row>
    <row r="76" spans="1:22" x14ac:dyDescent="0.25">
      <c r="A76" s="50" t="s">
        <v>275</v>
      </c>
      <c r="B76" s="51" t="s">
        <v>90</v>
      </c>
      <c r="C76" s="6">
        <v>42029</v>
      </c>
      <c r="D76" s="6">
        <v>31609</v>
      </c>
      <c r="E76" s="6">
        <v>52625</v>
      </c>
      <c r="F76" s="6">
        <v>16295</v>
      </c>
      <c r="G76" s="6">
        <v>17558</v>
      </c>
      <c r="H76" s="6">
        <v>53372</v>
      </c>
      <c r="I76" s="6">
        <f t="shared" si="2"/>
        <v>213488</v>
      </c>
      <c r="J76" s="57">
        <v>65697</v>
      </c>
      <c r="K76" s="52"/>
      <c r="L76" s="52"/>
      <c r="M76" s="52"/>
      <c r="N76" s="52"/>
      <c r="O76" s="52"/>
      <c r="P76" s="52"/>
      <c r="Q76" s="52"/>
      <c r="R76" s="52"/>
      <c r="S76" s="52"/>
      <c r="T76" s="52">
        <f t="shared" si="3"/>
        <v>213488</v>
      </c>
      <c r="U76" s="8">
        <v>136260.06</v>
      </c>
      <c r="V76" s="17" t="s">
        <v>90</v>
      </c>
    </row>
    <row r="77" spans="1:22" x14ac:dyDescent="0.25">
      <c r="A77" s="50" t="s">
        <v>276</v>
      </c>
      <c r="B77" s="51" t="s">
        <v>91</v>
      </c>
      <c r="C77" s="6">
        <v>101683</v>
      </c>
      <c r="D77" s="6">
        <v>104371</v>
      </c>
      <c r="E77" s="6">
        <v>17370</v>
      </c>
      <c r="F77" s="6">
        <v>15736</v>
      </c>
      <c r="G77" s="6">
        <v>15937</v>
      </c>
      <c r="H77" s="6">
        <v>85033</v>
      </c>
      <c r="I77" s="6">
        <f t="shared" si="2"/>
        <v>340130</v>
      </c>
      <c r="J77" s="57">
        <v>158944</v>
      </c>
      <c r="K77" s="52"/>
      <c r="L77" s="52"/>
      <c r="M77" s="52"/>
      <c r="N77" s="52"/>
      <c r="O77" s="52"/>
      <c r="P77" s="52"/>
      <c r="Q77" s="52"/>
      <c r="R77" s="52"/>
      <c r="S77" s="52"/>
      <c r="T77" s="52">
        <f t="shared" si="3"/>
        <v>340130</v>
      </c>
      <c r="U77" s="8">
        <v>225074.36</v>
      </c>
      <c r="V77" s="17" t="s">
        <v>91</v>
      </c>
    </row>
    <row r="78" spans="1:22" x14ac:dyDescent="0.25">
      <c r="A78" s="50" t="s">
        <v>277</v>
      </c>
      <c r="B78" s="51" t="s">
        <v>92</v>
      </c>
      <c r="C78" s="6">
        <v>134826</v>
      </c>
      <c r="D78" s="6">
        <v>155891</v>
      </c>
      <c r="E78" s="6">
        <v>0</v>
      </c>
      <c r="F78" s="6">
        <v>31317</v>
      </c>
      <c r="G78" s="6">
        <v>25640</v>
      </c>
      <c r="H78" s="6">
        <v>115892</v>
      </c>
      <c r="I78" s="6">
        <f t="shared" si="2"/>
        <v>463566</v>
      </c>
      <c r="J78" s="57">
        <v>210752</v>
      </c>
      <c r="K78" s="52"/>
      <c r="L78" s="52"/>
      <c r="M78" s="52"/>
      <c r="N78" s="52"/>
      <c r="O78" s="52"/>
      <c r="P78" s="52"/>
      <c r="Q78" s="52"/>
      <c r="R78" s="52"/>
      <c r="S78" s="52"/>
      <c r="T78" s="52">
        <f t="shared" si="3"/>
        <v>463566</v>
      </c>
      <c r="U78" s="8">
        <v>59704</v>
      </c>
      <c r="V78" s="17" t="s">
        <v>92</v>
      </c>
    </row>
    <row r="79" spans="1:22" x14ac:dyDescent="0.25">
      <c r="A79" s="50" t="s">
        <v>278</v>
      </c>
      <c r="B79" s="51" t="s">
        <v>93</v>
      </c>
      <c r="C79" s="6">
        <v>46695</v>
      </c>
      <c r="D79" s="6">
        <v>37597</v>
      </c>
      <c r="E79" s="6">
        <v>8330</v>
      </c>
      <c r="F79" s="6">
        <v>3938</v>
      </c>
      <c r="G79" s="6">
        <v>14846</v>
      </c>
      <c r="H79" s="6">
        <v>37136</v>
      </c>
      <c r="I79" s="6">
        <f t="shared" si="2"/>
        <v>148542</v>
      </c>
      <c r="J79" s="57">
        <v>72990</v>
      </c>
      <c r="K79" s="52"/>
      <c r="L79" s="52"/>
      <c r="M79" s="52"/>
      <c r="N79" s="52"/>
      <c r="O79" s="52"/>
      <c r="P79" s="52"/>
      <c r="Q79" s="52"/>
      <c r="R79" s="52"/>
      <c r="S79" s="52"/>
      <c r="T79" s="52">
        <f t="shared" si="3"/>
        <v>148542</v>
      </c>
      <c r="U79" s="8">
        <v>49861</v>
      </c>
      <c r="V79" s="17" t="s">
        <v>93</v>
      </c>
    </row>
    <row r="80" spans="1:22" x14ac:dyDescent="0.25">
      <c r="A80" s="50" t="s">
        <v>279</v>
      </c>
      <c r="B80" s="51" t="s">
        <v>94</v>
      </c>
      <c r="C80" s="6">
        <v>80754</v>
      </c>
      <c r="D80" s="6">
        <v>56909</v>
      </c>
      <c r="E80" s="6">
        <v>33868</v>
      </c>
      <c r="F80" s="6">
        <v>69819</v>
      </c>
      <c r="G80" s="6">
        <v>25981</v>
      </c>
      <c r="H80" s="6">
        <v>89111</v>
      </c>
      <c r="I80" s="6">
        <f t="shared" si="2"/>
        <v>356442</v>
      </c>
      <c r="J80" s="57">
        <v>126230</v>
      </c>
      <c r="K80" s="52"/>
      <c r="L80" s="52"/>
      <c r="M80" s="52"/>
      <c r="N80" s="52"/>
      <c r="O80" s="52"/>
      <c r="P80" s="52"/>
      <c r="Q80" s="52"/>
      <c r="R80" s="52"/>
      <c r="S80" s="52"/>
      <c r="T80" s="52">
        <f t="shared" si="3"/>
        <v>356442</v>
      </c>
      <c r="U80" s="8">
        <v>162391</v>
      </c>
      <c r="V80" s="17" t="s">
        <v>94</v>
      </c>
    </row>
    <row r="81" spans="1:22" s="9" customFormat="1" ht="15.75" x14ac:dyDescent="0.25">
      <c r="A81" s="50" t="s">
        <v>280</v>
      </c>
      <c r="B81" s="51" t="s">
        <v>95</v>
      </c>
      <c r="C81" s="6">
        <v>95366</v>
      </c>
      <c r="D81" s="6">
        <v>95707</v>
      </c>
      <c r="E81" s="6">
        <v>142254</v>
      </c>
      <c r="F81" s="6">
        <v>68322</v>
      </c>
      <c r="G81" s="6">
        <v>55519</v>
      </c>
      <c r="H81" s="6">
        <v>152389</v>
      </c>
      <c r="I81" s="6">
        <f t="shared" si="2"/>
        <v>609557</v>
      </c>
      <c r="J81" s="57">
        <v>149069</v>
      </c>
      <c r="K81" s="52">
        <v>56000</v>
      </c>
      <c r="L81" s="52"/>
      <c r="M81" s="52"/>
      <c r="N81" s="52"/>
      <c r="O81" s="52"/>
      <c r="P81" s="52"/>
      <c r="Q81" s="52"/>
      <c r="R81" s="52"/>
      <c r="S81" s="52"/>
      <c r="T81" s="52">
        <f t="shared" si="3"/>
        <v>665557</v>
      </c>
      <c r="U81" s="8">
        <v>450000</v>
      </c>
      <c r="V81" s="17" t="s">
        <v>95</v>
      </c>
    </row>
    <row r="82" spans="1:22" s="9" customFormat="1" ht="15.75" x14ac:dyDescent="0.25">
      <c r="A82" s="50" t="s">
        <v>281</v>
      </c>
      <c r="B82" s="51" t="s">
        <v>96</v>
      </c>
      <c r="C82" s="6">
        <v>68053</v>
      </c>
      <c r="D82" s="6">
        <v>70070</v>
      </c>
      <c r="E82" s="6">
        <v>0</v>
      </c>
      <c r="F82" s="6">
        <v>14650</v>
      </c>
      <c r="G82" s="6">
        <v>7617</v>
      </c>
      <c r="H82" s="6">
        <v>53463</v>
      </c>
      <c r="I82" s="6">
        <f t="shared" si="2"/>
        <v>213853</v>
      </c>
      <c r="J82" s="57">
        <v>106375</v>
      </c>
      <c r="K82" s="52"/>
      <c r="L82" s="52"/>
      <c r="M82" s="52"/>
      <c r="N82" s="52"/>
      <c r="O82" s="52"/>
      <c r="P82" s="52"/>
      <c r="Q82" s="52"/>
      <c r="R82" s="52"/>
      <c r="S82" s="52"/>
      <c r="T82" s="52">
        <f t="shared" si="3"/>
        <v>213853</v>
      </c>
      <c r="U82" s="8">
        <v>292973.01</v>
      </c>
      <c r="V82" s="17" t="s">
        <v>96</v>
      </c>
    </row>
    <row r="83" spans="1:22" s="9" customFormat="1" ht="15.75" x14ac:dyDescent="0.25">
      <c r="A83" s="50" t="s">
        <v>282</v>
      </c>
      <c r="B83" s="51" t="s">
        <v>97</v>
      </c>
      <c r="C83" s="6">
        <v>28123</v>
      </c>
      <c r="D83" s="6">
        <v>28985</v>
      </c>
      <c r="E83" s="6">
        <v>13393</v>
      </c>
      <c r="F83" s="6">
        <v>19991</v>
      </c>
      <c r="G83" s="6">
        <v>6424</v>
      </c>
      <c r="H83" s="6">
        <v>32305</v>
      </c>
      <c r="I83" s="6">
        <f t="shared" si="2"/>
        <v>129221</v>
      </c>
      <c r="J83" s="57">
        <v>43961</v>
      </c>
      <c r="K83" s="52"/>
      <c r="L83" s="52"/>
      <c r="M83" s="52"/>
      <c r="N83" s="52"/>
      <c r="O83" s="52"/>
      <c r="P83" s="52"/>
      <c r="Q83" s="52">
        <v>47455</v>
      </c>
      <c r="R83" s="52"/>
      <c r="S83" s="52"/>
      <c r="T83" s="52">
        <f t="shared" si="3"/>
        <v>176676</v>
      </c>
      <c r="U83" s="8">
        <v>28062.9</v>
      </c>
      <c r="V83" s="17" t="s">
        <v>97</v>
      </c>
    </row>
    <row r="84" spans="1:22" s="9" customFormat="1" ht="15.75" x14ac:dyDescent="0.25">
      <c r="A84" s="50" t="s">
        <v>283</v>
      </c>
      <c r="B84" s="51" t="s">
        <v>98</v>
      </c>
      <c r="C84" s="6">
        <v>145823</v>
      </c>
      <c r="D84" s="6">
        <v>106264</v>
      </c>
      <c r="E84" s="6">
        <v>38380</v>
      </c>
      <c r="F84" s="6">
        <v>41198</v>
      </c>
      <c r="G84" s="6">
        <v>27812</v>
      </c>
      <c r="H84" s="6">
        <v>119826</v>
      </c>
      <c r="I84" s="6">
        <f t="shared" si="2"/>
        <v>479303</v>
      </c>
      <c r="J84" s="57">
        <v>227941</v>
      </c>
      <c r="K84" s="52"/>
      <c r="L84" s="52"/>
      <c r="M84" s="52"/>
      <c r="N84" s="52"/>
      <c r="O84" s="52"/>
      <c r="P84" s="52"/>
      <c r="Q84" s="52"/>
      <c r="R84" s="52"/>
      <c r="S84" s="52"/>
      <c r="T84" s="52">
        <f t="shared" si="3"/>
        <v>479303</v>
      </c>
      <c r="U84" s="8">
        <v>87187.4</v>
      </c>
      <c r="V84" s="17" t="s">
        <v>98</v>
      </c>
    </row>
    <row r="85" spans="1:22" s="9" customFormat="1" ht="15.75" x14ac:dyDescent="0.25">
      <c r="A85" s="50" t="s">
        <v>284</v>
      </c>
      <c r="B85" s="51" t="s">
        <v>99</v>
      </c>
      <c r="C85" s="6">
        <v>203656</v>
      </c>
      <c r="D85" s="6">
        <v>392370</v>
      </c>
      <c r="E85" s="6">
        <v>188987</v>
      </c>
      <c r="F85" s="6">
        <v>140454</v>
      </c>
      <c r="G85" s="6">
        <v>96608</v>
      </c>
      <c r="H85" s="6">
        <v>340692</v>
      </c>
      <c r="I85" s="6">
        <f t="shared" si="2"/>
        <v>1362767</v>
      </c>
      <c r="J85" s="57">
        <v>318341</v>
      </c>
      <c r="K85" s="52"/>
      <c r="L85" s="52"/>
      <c r="M85" s="52"/>
      <c r="N85" s="52">
        <v>54703</v>
      </c>
      <c r="O85" s="52"/>
      <c r="P85" s="52"/>
      <c r="Q85" s="52"/>
      <c r="R85" s="52"/>
      <c r="S85" s="52"/>
      <c r="T85" s="52">
        <f t="shared" si="3"/>
        <v>1417470</v>
      </c>
      <c r="U85" s="8">
        <v>3010649</v>
      </c>
      <c r="V85" s="17" t="s">
        <v>99</v>
      </c>
    </row>
    <row r="86" spans="1:22" s="9" customFormat="1" ht="15.75" x14ac:dyDescent="0.25">
      <c r="A86" s="50" t="s">
        <v>285</v>
      </c>
      <c r="B86" s="51" t="s">
        <v>100</v>
      </c>
      <c r="C86" s="6">
        <v>193187</v>
      </c>
      <c r="D86" s="6">
        <v>120703</v>
      </c>
      <c r="E86" s="6">
        <v>11944</v>
      </c>
      <c r="F86" s="6">
        <v>29403</v>
      </c>
      <c r="G86" s="6">
        <v>37052</v>
      </c>
      <c r="H86" s="6">
        <v>130763</v>
      </c>
      <c r="I86" s="6">
        <f t="shared" si="2"/>
        <v>523052</v>
      </c>
      <c r="J86" s="57">
        <v>301977</v>
      </c>
      <c r="K86" s="52"/>
      <c r="L86" s="52"/>
      <c r="M86" s="52"/>
      <c r="N86" s="52"/>
      <c r="O86" s="52"/>
      <c r="P86" s="52"/>
      <c r="Q86" s="52"/>
      <c r="R86" s="52"/>
      <c r="S86" s="52"/>
      <c r="T86" s="52">
        <f t="shared" si="3"/>
        <v>523052</v>
      </c>
      <c r="U86" s="8">
        <v>343556.69</v>
      </c>
      <c r="V86" s="17" t="s">
        <v>100</v>
      </c>
    </row>
    <row r="87" spans="1:22" s="9" customFormat="1" ht="15.75" x14ac:dyDescent="0.25">
      <c r="A87" s="50" t="s">
        <v>286</v>
      </c>
      <c r="B87" s="51" t="s">
        <v>101</v>
      </c>
      <c r="C87" s="6">
        <v>164199</v>
      </c>
      <c r="D87" s="6">
        <v>181337</v>
      </c>
      <c r="E87" s="6">
        <v>63291</v>
      </c>
      <c r="F87" s="6">
        <v>66635</v>
      </c>
      <c r="G87" s="6">
        <v>87816</v>
      </c>
      <c r="H87" s="6">
        <v>187760</v>
      </c>
      <c r="I87" s="6">
        <f t="shared" si="2"/>
        <v>751038</v>
      </c>
      <c r="J87" s="57">
        <v>256665</v>
      </c>
      <c r="K87" s="52">
        <v>104000</v>
      </c>
      <c r="L87" s="52"/>
      <c r="M87" s="52"/>
      <c r="N87" s="52"/>
      <c r="O87" s="52"/>
      <c r="P87" s="52"/>
      <c r="Q87" s="52"/>
      <c r="R87" s="52"/>
      <c r="S87" s="52"/>
      <c r="T87" s="52">
        <f t="shared" si="3"/>
        <v>855038</v>
      </c>
      <c r="U87" s="8">
        <v>767069.04</v>
      </c>
      <c r="V87" s="17" t="s">
        <v>101</v>
      </c>
    </row>
    <row r="88" spans="1:22" s="9" customFormat="1" ht="15.75" x14ac:dyDescent="0.25">
      <c r="A88" s="50" t="s">
        <v>287</v>
      </c>
      <c r="B88" s="51" t="s">
        <v>102</v>
      </c>
      <c r="C88" s="6">
        <v>44858</v>
      </c>
      <c r="D88" s="6">
        <v>48220</v>
      </c>
      <c r="E88" s="6">
        <v>50814</v>
      </c>
      <c r="F88" s="6">
        <v>3842</v>
      </c>
      <c r="G88" s="6">
        <v>5192</v>
      </c>
      <c r="H88" s="6">
        <v>50975</v>
      </c>
      <c r="I88" s="6">
        <f t="shared" si="2"/>
        <v>203901</v>
      </c>
      <c r="J88" s="57">
        <v>70119</v>
      </c>
      <c r="K88" s="52"/>
      <c r="L88" s="52"/>
      <c r="M88" s="52"/>
      <c r="N88" s="52"/>
      <c r="O88" s="52"/>
      <c r="P88" s="52"/>
      <c r="Q88" s="52"/>
      <c r="R88" s="52"/>
      <c r="S88" s="52"/>
      <c r="T88" s="52">
        <f t="shared" si="3"/>
        <v>203901</v>
      </c>
      <c r="U88" s="8">
        <v>24312.07</v>
      </c>
      <c r="V88" s="17" t="s">
        <v>102</v>
      </c>
    </row>
    <row r="89" spans="1:22" s="9" customFormat="1" ht="15.75" x14ac:dyDescent="0.25">
      <c r="A89" s="50" t="s">
        <v>288</v>
      </c>
      <c r="B89" s="51" t="s">
        <v>103</v>
      </c>
      <c r="C89" s="6">
        <v>93998</v>
      </c>
      <c r="D89" s="6">
        <v>214340</v>
      </c>
      <c r="E89" s="6">
        <v>0</v>
      </c>
      <c r="F89" s="6">
        <v>28179</v>
      </c>
      <c r="G89" s="6">
        <v>27953</v>
      </c>
      <c r="H89" s="6">
        <v>121490</v>
      </c>
      <c r="I89" s="6">
        <f t="shared" si="2"/>
        <v>485960</v>
      </c>
      <c r="J89" s="57">
        <v>146931</v>
      </c>
      <c r="K89" s="52"/>
      <c r="L89" s="52"/>
      <c r="M89" s="52"/>
      <c r="N89" s="52"/>
      <c r="O89" s="52"/>
      <c r="P89" s="52"/>
      <c r="Q89" s="52"/>
      <c r="R89" s="52">
        <v>113414</v>
      </c>
      <c r="S89" s="52">
        <v>50000</v>
      </c>
      <c r="T89" s="52">
        <f t="shared" si="3"/>
        <v>649374</v>
      </c>
      <c r="U89" s="8">
        <v>312936.56</v>
      </c>
      <c r="V89" s="17" t="s">
        <v>103</v>
      </c>
    </row>
    <row r="90" spans="1:22" s="9" customFormat="1" ht="15.75" x14ac:dyDescent="0.25">
      <c r="A90" s="50" t="s">
        <v>289</v>
      </c>
      <c r="B90" s="51" t="s">
        <v>104</v>
      </c>
      <c r="C90" s="6">
        <v>178650</v>
      </c>
      <c r="D90" s="6">
        <v>162234</v>
      </c>
      <c r="E90" s="6">
        <v>0</v>
      </c>
      <c r="F90" s="6">
        <v>36021</v>
      </c>
      <c r="G90" s="6">
        <v>27036</v>
      </c>
      <c r="H90" s="6">
        <v>134647</v>
      </c>
      <c r="I90" s="6">
        <f t="shared" si="2"/>
        <v>538588</v>
      </c>
      <c r="J90" s="57">
        <v>279253</v>
      </c>
      <c r="K90" s="52"/>
      <c r="L90" s="52"/>
      <c r="M90" s="52"/>
      <c r="N90" s="52"/>
      <c r="O90" s="52"/>
      <c r="P90" s="52"/>
      <c r="Q90" s="52"/>
      <c r="R90" s="52"/>
      <c r="S90" s="52"/>
      <c r="T90" s="52">
        <f t="shared" si="3"/>
        <v>538588</v>
      </c>
      <c r="U90" s="8">
        <v>166994.67000000001</v>
      </c>
      <c r="V90" s="17" t="s">
        <v>104</v>
      </c>
    </row>
    <row r="91" spans="1:22" s="9" customFormat="1" ht="15.75" x14ac:dyDescent="0.25">
      <c r="A91" s="50" t="s">
        <v>290</v>
      </c>
      <c r="B91" s="51" t="s">
        <v>105</v>
      </c>
      <c r="C91" s="6">
        <v>67081</v>
      </c>
      <c r="D91" s="6">
        <v>33854</v>
      </c>
      <c r="E91" s="6">
        <v>34377</v>
      </c>
      <c r="F91" s="6">
        <v>11527</v>
      </c>
      <c r="G91" s="6">
        <v>14355</v>
      </c>
      <c r="H91" s="6">
        <v>53731</v>
      </c>
      <c r="I91" s="6">
        <f t="shared" si="2"/>
        <v>214925</v>
      </c>
      <c r="J91" s="57">
        <v>101391</v>
      </c>
      <c r="K91" s="52"/>
      <c r="L91" s="52"/>
      <c r="M91" s="52"/>
      <c r="N91" s="52"/>
      <c r="O91" s="52"/>
      <c r="P91" s="52"/>
      <c r="Q91" s="52"/>
      <c r="R91" s="52"/>
      <c r="S91" s="52"/>
      <c r="T91" s="52">
        <f t="shared" si="3"/>
        <v>214925</v>
      </c>
      <c r="U91" s="8">
        <v>81521.89</v>
      </c>
      <c r="V91" s="17" t="s">
        <v>105</v>
      </c>
    </row>
    <row r="92" spans="1:22" s="9" customFormat="1" ht="15.75" x14ac:dyDescent="0.25">
      <c r="A92" s="50" t="s">
        <v>291</v>
      </c>
      <c r="B92" s="51" t="s">
        <v>106</v>
      </c>
      <c r="C92" s="6">
        <v>19513</v>
      </c>
      <c r="D92" s="6">
        <v>28562</v>
      </c>
      <c r="E92" s="6">
        <v>180878</v>
      </c>
      <c r="F92" s="6">
        <v>15801</v>
      </c>
      <c r="G92" s="6">
        <v>39500</v>
      </c>
      <c r="H92" s="6">
        <v>94752</v>
      </c>
      <c r="I92" s="6">
        <f t="shared" si="2"/>
        <v>379006</v>
      </c>
      <c r="J92" s="57">
        <v>29108</v>
      </c>
      <c r="K92" s="52"/>
      <c r="L92" s="52"/>
      <c r="M92" s="52"/>
      <c r="N92" s="52"/>
      <c r="O92" s="52"/>
      <c r="P92" s="52"/>
      <c r="Q92" s="52"/>
      <c r="R92" s="52"/>
      <c r="S92" s="52"/>
      <c r="T92" s="52">
        <f t="shared" si="3"/>
        <v>379006</v>
      </c>
      <c r="U92" s="8">
        <v>540035</v>
      </c>
      <c r="V92" s="17" t="s">
        <v>106</v>
      </c>
    </row>
    <row r="93" spans="1:22" s="9" customFormat="1" ht="15.75" x14ac:dyDescent="0.25">
      <c r="A93" s="50" t="s">
        <v>292</v>
      </c>
      <c r="B93" s="51" t="s">
        <v>107</v>
      </c>
      <c r="C93" s="6">
        <v>56881</v>
      </c>
      <c r="D93" s="6">
        <v>56981</v>
      </c>
      <c r="E93" s="6">
        <v>33077</v>
      </c>
      <c r="F93" s="6">
        <v>25437</v>
      </c>
      <c r="G93" s="6">
        <v>16982</v>
      </c>
      <c r="H93" s="6">
        <v>63119</v>
      </c>
      <c r="I93" s="6">
        <f t="shared" si="2"/>
        <v>252477</v>
      </c>
      <c r="J93" s="57">
        <v>88913</v>
      </c>
      <c r="K93" s="52">
        <v>18800</v>
      </c>
      <c r="L93" s="52"/>
      <c r="M93" s="52"/>
      <c r="N93" s="52"/>
      <c r="O93" s="52"/>
      <c r="P93" s="52"/>
      <c r="Q93" s="52">
        <v>13920</v>
      </c>
      <c r="R93" s="52"/>
      <c r="S93" s="52"/>
      <c r="T93" s="52">
        <f t="shared" si="3"/>
        <v>285197</v>
      </c>
      <c r="U93" s="8">
        <v>164856.24</v>
      </c>
      <c r="V93" s="17" t="s">
        <v>107</v>
      </c>
    </row>
    <row r="94" spans="1:22" s="9" customFormat="1" ht="15.75" x14ac:dyDescent="0.25">
      <c r="A94" s="50" t="s">
        <v>293</v>
      </c>
      <c r="B94" s="51" t="s">
        <v>108</v>
      </c>
      <c r="C94" s="6">
        <v>110693</v>
      </c>
      <c r="D94" s="6">
        <v>94728</v>
      </c>
      <c r="E94" s="6">
        <v>0</v>
      </c>
      <c r="F94" s="6">
        <v>53325</v>
      </c>
      <c r="G94" s="6">
        <v>21104</v>
      </c>
      <c r="H94" s="6">
        <v>93283</v>
      </c>
      <c r="I94" s="6">
        <f t="shared" si="2"/>
        <v>373133</v>
      </c>
      <c r="J94" s="57">
        <v>173028</v>
      </c>
      <c r="K94" s="52"/>
      <c r="L94" s="52"/>
      <c r="M94" s="52"/>
      <c r="N94" s="52"/>
      <c r="O94" s="52"/>
      <c r="P94" s="52"/>
      <c r="Q94" s="52"/>
      <c r="R94" s="52"/>
      <c r="S94" s="52"/>
      <c r="T94" s="52">
        <f t="shared" si="3"/>
        <v>373133</v>
      </c>
      <c r="U94" s="8">
        <v>98682</v>
      </c>
      <c r="V94" s="17" t="s">
        <v>108</v>
      </c>
    </row>
    <row r="95" spans="1:22" s="9" customFormat="1" ht="15.75" x14ac:dyDescent="0.25">
      <c r="A95" s="50" t="s">
        <v>294</v>
      </c>
      <c r="B95" s="51" t="s">
        <v>109</v>
      </c>
      <c r="C95" s="6">
        <v>38767</v>
      </c>
      <c r="D95" s="6">
        <v>36151</v>
      </c>
      <c r="E95" s="6">
        <v>8141</v>
      </c>
      <c r="F95" s="6">
        <v>18361</v>
      </c>
      <c r="G95" s="6">
        <v>10112</v>
      </c>
      <c r="H95" s="6">
        <v>37177</v>
      </c>
      <c r="I95" s="6">
        <f t="shared" si="2"/>
        <v>148709</v>
      </c>
      <c r="J95" s="57">
        <v>60598</v>
      </c>
      <c r="K95" s="52"/>
      <c r="L95" s="52"/>
      <c r="M95" s="52"/>
      <c r="N95" s="52"/>
      <c r="O95" s="52"/>
      <c r="P95" s="52"/>
      <c r="Q95" s="52"/>
      <c r="R95" s="52"/>
      <c r="S95" s="52"/>
      <c r="T95" s="52">
        <f t="shared" si="3"/>
        <v>148709</v>
      </c>
      <c r="U95" s="8">
        <v>235184</v>
      </c>
      <c r="V95" s="17" t="s">
        <v>109</v>
      </c>
    </row>
    <row r="96" spans="1:22" s="9" customFormat="1" ht="15.75" x14ac:dyDescent="0.25">
      <c r="A96" s="50" t="s">
        <v>295</v>
      </c>
      <c r="B96" s="51" t="s">
        <v>110</v>
      </c>
      <c r="C96" s="6">
        <v>24118</v>
      </c>
      <c r="D96" s="6">
        <v>44538</v>
      </c>
      <c r="E96" s="6">
        <v>36425</v>
      </c>
      <c r="F96" s="6">
        <v>13058</v>
      </c>
      <c r="G96" s="6">
        <v>11039</v>
      </c>
      <c r="H96" s="6">
        <v>43060</v>
      </c>
      <c r="I96" s="6">
        <f t="shared" si="2"/>
        <v>172238</v>
      </c>
      <c r="J96" s="57">
        <v>37699</v>
      </c>
      <c r="K96" s="52"/>
      <c r="L96" s="52"/>
      <c r="M96" s="52"/>
      <c r="N96" s="52"/>
      <c r="O96" s="52"/>
      <c r="P96" s="52"/>
      <c r="Q96" s="52">
        <v>3746</v>
      </c>
      <c r="R96" s="52"/>
      <c r="S96" s="52"/>
      <c r="T96" s="52">
        <f t="shared" si="3"/>
        <v>175984</v>
      </c>
      <c r="U96" s="8">
        <v>275331</v>
      </c>
      <c r="V96" s="17" t="s">
        <v>110</v>
      </c>
    </row>
    <row r="97" spans="1:22" s="9" customFormat="1" ht="15.75" x14ac:dyDescent="0.25">
      <c r="A97" s="50" t="s">
        <v>296</v>
      </c>
      <c r="B97" s="51" t="s">
        <v>111</v>
      </c>
      <c r="C97" s="6">
        <v>30701</v>
      </c>
      <c r="D97" s="6">
        <v>23659</v>
      </c>
      <c r="E97" s="6">
        <v>0</v>
      </c>
      <c r="F97" s="6">
        <v>10222</v>
      </c>
      <c r="G97" s="6">
        <v>2184</v>
      </c>
      <c r="H97" s="6">
        <v>22256</v>
      </c>
      <c r="I97" s="6">
        <f t="shared" si="2"/>
        <v>89022</v>
      </c>
      <c r="J97" s="57">
        <v>47989</v>
      </c>
      <c r="K97" s="52"/>
      <c r="L97" s="52"/>
      <c r="M97" s="52"/>
      <c r="N97" s="52"/>
      <c r="O97" s="52"/>
      <c r="P97" s="52"/>
      <c r="Q97" s="52"/>
      <c r="R97" s="52"/>
      <c r="S97" s="52"/>
      <c r="T97" s="52">
        <f t="shared" si="3"/>
        <v>89022</v>
      </c>
      <c r="U97" s="8">
        <v>98066</v>
      </c>
      <c r="V97" s="17" t="s">
        <v>111</v>
      </c>
    </row>
    <row r="98" spans="1:22" s="9" customFormat="1" ht="15.75" x14ac:dyDescent="0.25">
      <c r="A98" s="50" t="s">
        <v>297</v>
      </c>
      <c r="B98" s="51" t="s">
        <v>112</v>
      </c>
      <c r="C98" s="6">
        <v>140001</v>
      </c>
      <c r="D98" s="6">
        <v>126007</v>
      </c>
      <c r="E98" s="6">
        <v>27318</v>
      </c>
      <c r="F98" s="6">
        <v>26924</v>
      </c>
      <c r="G98" s="6">
        <v>20249</v>
      </c>
      <c r="H98" s="6">
        <v>113500</v>
      </c>
      <c r="I98" s="6">
        <f t="shared" si="2"/>
        <v>453999</v>
      </c>
      <c r="J98" s="57">
        <v>218841</v>
      </c>
      <c r="K98" s="52">
        <v>18375</v>
      </c>
      <c r="L98" s="52"/>
      <c r="M98" s="52"/>
      <c r="N98" s="52"/>
      <c r="O98" s="52"/>
      <c r="P98" s="52"/>
      <c r="Q98" s="52"/>
      <c r="R98" s="52"/>
      <c r="S98" s="52"/>
      <c r="T98" s="52">
        <f t="shared" si="3"/>
        <v>472374</v>
      </c>
      <c r="U98" s="8">
        <v>223032</v>
      </c>
      <c r="V98" s="17" t="s">
        <v>112</v>
      </c>
    </row>
    <row r="99" spans="1:22" x14ac:dyDescent="0.25">
      <c r="A99" s="50" t="s">
        <v>298</v>
      </c>
      <c r="B99" s="51" t="s">
        <v>113</v>
      </c>
      <c r="C99" s="6">
        <v>26675</v>
      </c>
      <c r="D99" s="6">
        <v>12883</v>
      </c>
      <c r="E99" s="6">
        <v>3830</v>
      </c>
      <c r="F99" s="6">
        <v>23319</v>
      </c>
      <c r="G99" s="6">
        <v>2609</v>
      </c>
      <c r="H99" s="6">
        <v>23106</v>
      </c>
      <c r="I99" s="6">
        <f t="shared" si="2"/>
        <v>92422</v>
      </c>
      <c r="J99" s="57">
        <v>41697</v>
      </c>
      <c r="K99" s="52"/>
      <c r="L99" s="52"/>
      <c r="M99" s="52"/>
      <c r="N99" s="52"/>
      <c r="O99" s="52"/>
      <c r="P99" s="52"/>
      <c r="Q99" s="52"/>
      <c r="R99" s="52"/>
      <c r="S99" s="52"/>
      <c r="T99" s="52">
        <f t="shared" si="3"/>
        <v>92422</v>
      </c>
      <c r="U99" s="8">
        <v>8784.6200000000008</v>
      </c>
      <c r="V99" s="17" t="s">
        <v>113</v>
      </c>
    </row>
    <row r="100" spans="1:22" x14ac:dyDescent="0.25">
      <c r="A100" s="50" t="s">
        <v>299</v>
      </c>
      <c r="B100" s="51" t="s">
        <v>114</v>
      </c>
      <c r="C100" s="6">
        <v>135962</v>
      </c>
      <c r="D100" s="6">
        <v>109591</v>
      </c>
      <c r="E100" s="6">
        <v>0</v>
      </c>
      <c r="F100" s="6">
        <v>35432</v>
      </c>
      <c r="G100" s="6">
        <v>12689</v>
      </c>
      <c r="H100" s="6">
        <v>97891</v>
      </c>
      <c r="I100" s="6">
        <f t="shared" si="2"/>
        <v>391565</v>
      </c>
      <c r="J100" s="57">
        <v>212526</v>
      </c>
      <c r="K100" s="52"/>
      <c r="L100" s="52"/>
      <c r="M100" s="52"/>
      <c r="N100" s="52"/>
      <c r="O100" s="52"/>
      <c r="P100" s="52"/>
      <c r="Q100" s="52"/>
      <c r="R100" s="52"/>
      <c r="S100" s="52"/>
      <c r="T100" s="52">
        <f t="shared" si="3"/>
        <v>391565</v>
      </c>
      <c r="U100" s="8">
        <v>91613.53</v>
      </c>
      <c r="V100" s="17" t="s">
        <v>114</v>
      </c>
    </row>
    <row r="101" spans="1:22" x14ac:dyDescent="0.25">
      <c r="A101" s="50" t="s">
        <v>300</v>
      </c>
      <c r="B101" s="51" t="s">
        <v>115</v>
      </c>
      <c r="C101" s="6">
        <v>77646</v>
      </c>
      <c r="D101" s="6">
        <v>56977</v>
      </c>
      <c r="E101" s="6">
        <v>96601</v>
      </c>
      <c r="F101" s="6">
        <v>15967</v>
      </c>
      <c r="G101" s="6">
        <v>27898</v>
      </c>
      <c r="H101" s="6">
        <v>91696</v>
      </c>
      <c r="I101" s="6">
        <f t="shared" si="2"/>
        <v>366785</v>
      </c>
      <c r="J101" s="57">
        <v>119182</v>
      </c>
      <c r="K101" s="52"/>
      <c r="L101" s="52"/>
      <c r="M101" s="52"/>
      <c r="N101" s="52"/>
      <c r="O101" s="52"/>
      <c r="P101" s="52"/>
      <c r="Q101" s="52"/>
      <c r="R101" s="52"/>
      <c r="S101" s="52"/>
      <c r="T101" s="52">
        <f t="shared" si="3"/>
        <v>366785</v>
      </c>
      <c r="U101" s="8">
        <v>541594.31999999995</v>
      </c>
      <c r="V101" s="17" t="s">
        <v>115</v>
      </c>
    </row>
    <row r="102" spans="1:22" x14ac:dyDescent="0.25">
      <c r="A102" s="50" t="s">
        <v>301</v>
      </c>
      <c r="B102" s="51" t="s">
        <v>116</v>
      </c>
      <c r="C102" s="6">
        <v>74130</v>
      </c>
      <c r="D102" s="6">
        <v>280935</v>
      </c>
      <c r="E102" s="6">
        <v>454907</v>
      </c>
      <c r="F102" s="6">
        <v>270976</v>
      </c>
      <c r="G102" s="6">
        <v>146320</v>
      </c>
      <c r="H102" s="6">
        <v>409090</v>
      </c>
      <c r="I102" s="6">
        <f t="shared" si="2"/>
        <v>1636358</v>
      </c>
      <c r="J102" s="57">
        <v>115875</v>
      </c>
      <c r="K102" s="52"/>
      <c r="L102" s="52"/>
      <c r="M102" s="52"/>
      <c r="N102" s="52"/>
      <c r="O102" s="52"/>
      <c r="P102" s="52"/>
      <c r="Q102" s="52"/>
      <c r="R102" s="52"/>
      <c r="S102" s="52"/>
      <c r="T102" s="52">
        <f t="shared" si="3"/>
        <v>1636358</v>
      </c>
      <c r="U102" s="8">
        <v>3946362.85</v>
      </c>
      <c r="V102" s="17" t="s">
        <v>116</v>
      </c>
    </row>
    <row r="103" spans="1:22" x14ac:dyDescent="0.25">
      <c r="A103" s="50" t="s">
        <v>302</v>
      </c>
      <c r="B103" s="51" t="s">
        <v>117</v>
      </c>
      <c r="C103" s="6">
        <v>24766</v>
      </c>
      <c r="D103" s="6">
        <v>11622</v>
      </c>
      <c r="E103" s="6">
        <v>7263</v>
      </c>
      <c r="F103" s="6">
        <v>10244</v>
      </c>
      <c r="G103" s="6">
        <v>4228</v>
      </c>
      <c r="H103" s="6">
        <v>19375</v>
      </c>
      <c r="I103" s="6">
        <f t="shared" si="2"/>
        <v>77498</v>
      </c>
      <c r="J103" s="57">
        <v>38713</v>
      </c>
      <c r="K103" s="52"/>
      <c r="L103" s="52"/>
      <c r="M103" s="52"/>
      <c r="N103" s="52"/>
      <c r="O103" s="52"/>
      <c r="P103" s="52"/>
      <c r="Q103" s="52"/>
      <c r="R103" s="52"/>
      <c r="S103" s="52"/>
      <c r="T103" s="52">
        <f t="shared" si="3"/>
        <v>77498</v>
      </c>
      <c r="U103" s="8">
        <v>54214</v>
      </c>
      <c r="V103" s="17" t="s">
        <v>117</v>
      </c>
    </row>
    <row r="104" spans="1:22" x14ac:dyDescent="0.25">
      <c r="A104" s="50" t="s">
        <v>303</v>
      </c>
      <c r="B104" s="51" t="s">
        <v>118</v>
      </c>
      <c r="C104" s="6">
        <v>40335</v>
      </c>
      <c r="D104" s="6">
        <v>64448</v>
      </c>
      <c r="E104" s="6">
        <v>28098</v>
      </c>
      <c r="F104" s="6">
        <v>18730</v>
      </c>
      <c r="G104" s="6">
        <v>4703</v>
      </c>
      <c r="H104" s="6">
        <v>52105</v>
      </c>
      <c r="I104" s="6">
        <f t="shared" si="2"/>
        <v>208419</v>
      </c>
      <c r="J104" s="57">
        <v>63048</v>
      </c>
      <c r="K104" s="52"/>
      <c r="L104" s="52"/>
      <c r="M104" s="52"/>
      <c r="N104" s="52"/>
      <c r="O104" s="52"/>
      <c r="P104" s="52"/>
      <c r="Q104" s="52"/>
      <c r="R104" s="52"/>
      <c r="S104" s="52"/>
      <c r="T104" s="52">
        <f t="shared" si="3"/>
        <v>208419</v>
      </c>
      <c r="U104" s="8">
        <v>81252</v>
      </c>
      <c r="V104" s="17" t="s">
        <v>118</v>
      </c>
    </row>
    <row r="105" spans="1:22" x14ac:dyDescent="0.25">
      <c r="A105" s="50" t="s">
        <v>304</v>
      </c>
      <c r="B105" s="51" t="s">
        <v>119</v>
      </c>
      <c r="C105" s="6">
        <v>206549</v>
      </c>
      <c r="D105" s="6">
        <v>92180</v>
      </c>
      <c r="E105" s="6">
        <v>276372</v>
      </c>
      <c r="F105" s="6">
        <v>356899</v>
      </c>
      <c r="G105" s="6">
        <v>109204</v>
      </c>
      <c r="H105" s="6">
        <v>347068</v>
      </c>
      <c r="I105" s="6">
        <f t="shared" si="2"/>
        <v>1388272</v>
      </c>
      <c r="J105" s="57">
        <v>322864</v>
      </c>
      <c r="K105" s="52"/>
      <c r="L105" s="52"/>
      <c r="M105" s="52"/>
      <c r="N105" s="52">
        <v>46008</v>
      </c>
      <c r="O105" s="52"/>
      <c r="P105" s="52"/>
      <c r="Q105" s="52"/>
      <c r="R105" s="52"/>
      <c r="S105" s="52"/>
      <c r="T105" s="52">
        <f t="shared" si="3"/>
        <v>1434280</v>
      </c>
      <c r="U105" s="8">
        <v>3782866.89</v>
      </c>
      <c r="V105" s="17" t="s">
        <v>119</v>
      </c>
    </row>
    <row r="106" spans="1:22" x14ac:dyDescent="0.25">
      <c r="A106" s="50" t="s">
        <v>305</v>
      </c>
      <c r="B106" s="51" t="s">
        <v>120</v>
      </c>
      <c r="C106" s="6">
        <v>14419</v>
      </c>
      <c r="D106" s="6">
        <v>13607</v>
      </c>
      <c r="E106" s="6">
        <v>10678</v>
      </c>
      <c r="F106" s="6">
        <v>4956</v>
      </c>
      <c r="G106" s="6">
        <v>1815</v>
      </c>
      <c r="H106" s="6">
        <v>15159</v>
      </c>
      <c r="I106" s="6">
        <f t="shared" si="2"/>
        <v>60634</v>
      </c>
      <c r="J106" s="57">
        <v>22539</v>
      </c>
      <c r="K106" s="52"/>
      <c r="L106" s="52"/>
      <c r="M106" s="52"/>
      <c r="N106" s="52"/>
      <c r="O106" s="52"/>
      <c r="P106" s="52"/>
      <c r="Q106" s="52"/>
      <c r="R106" s="52"/>
      <c r="S106" s="52"/>
      <c r="T106" s="52">
        <f t="shared" si="3"/>
        <v>60634</v>
      </c>
      <c r="U106" s="8">
        <v>24937.47</v>
      </c>
      <c r="V106" s="17" t="s">
        <v>120</v>
      </c>
    </row>
    <row r="107" spans="1:22" x14ac:dyDescent="0.25">
      <c r="A107" s="50" t="s">
        <v>306</v>
      </c>
      <c r="B107" s="51" t="s">
        <v>121</v>
      </c>
      <c r="C107" s="6">
        <v>85180</v>
      </c>
      <c r="D107" s="6">
        <v>124340</v>
      </c>
      <c r="E107" s="6">
        <v>31917</v>
      </c>
      <c r="F107" s="6">
        <v>27181</v>
      </c>
      <c r="G107" s="6">
        <v>26083</v>
      </c>
      <c r="H107" s="6">
        <v>98234</v>
      </c>
      <c r="I107" s="6">
        <f t="shared" si="2"/>
        <v>392935</v>
      </c>
      <c r="J107" s="57">
        <v>133148</v>
      </c>
      <c r="K107" s="52"/>
      <c r="L107" s="52"/>
      <c r="M107" s="52"/>
      <c r="N107" s="52"/>
      <c r="O107" s="52"/>
      <c r="P107" s="52"/>
      <c r="Q107" s="52"/>
      <c r="R107" s="52"/>
      <c r="S107" s="52"/>
      <c r="T107" s="52">
        <f t="shared" si="3"/>
        <v>392935</v>
      </c>
      <c r="U107" s="8">
        <v>257000</v>
      </c>
      <c r="V107" s="17" t="s">
        <v>121</v>
      </c>
    </row>
    <row r="108" spans="1:22" x14ac:dyDescent="0.25">
      <c r="A108" s="50" t="s">
        <v>307</v>
      </c>
      <c r="B108" s="51" t="s">
        <v>122</v>
      </c>
      <c r="C108" s="6">
        <v>277650</v>
      </c>
      <c r="D108" s="6">
        <v>266168</v>
      </c>
      <c r="E108" s="6">
        <v>0</v>
      </c>
      <c r="F108" s="6">
        <v>56015</v>
      </c>
      <c r="G108" s="6">
        <v>21912</v>
      </c>
      <c r="H108" s="6">
        <v>207248</v>
      </c>
      <c r="I108" s="6">
        <f t="shared" si="2"/>
        <v>828993</v>
      </c>
      <c r="J108" s="57">
        <v>434004</v>
      </c>
      <c r="K108" s="52"/>
      <c r="L108" s="52"/>
      <c r="M108" s="52"/>
      <c r="N108" s="52"/>
      <c r="O108" s="52"/>
      <c r="P108" s="52"/>
      <c r="Q108" s="52"/>
      <c r="R108" s="52"/>
      <c r="S108" s="52"/>
      <c r="T108" s="52">
        <f t="shared" si="3"/>
        <v>828993</v>
      </c>
      <c r="U108" s="8">
        <v>390411</v>
      </c>
      <c r="V108" s="17" t="s">
        <v>122</v>
      </c>
    </row>
    <row r="109" spans="1:22" x14ac:dyDescent="0.25">
      <c r="A109" s="50" t="s">
        <v>308</v>
      </c>
      <c r="B109" s="51" t="s">
        <v>123</v>
      </c>
      <c r="C109" s="6">
        <v>103996</v>
      </c>
      <c r="D109" s="6">
        <v>85869</v>
      </c>
      <c r="E109" s="6">
        <v>54284</v>
      </c>
      <c r="F109" s="6">
        <v>11199</v>
      </c>
      <c r="G109" s="6">
        <v>10396</v>
      </c>
      <c r="H109" s="6">
        <v>88581</v>
      </c>
      <c r="I109" s="6">
        <f t="shared" si="2"/>
        <v>354325</v>
      </c>
      <c r="J109" s="57">
        <v>162560</v>
      </c>
      <c r="K109" s="52"/>
      <c r="L109" s="52"/>
      <c r="M109" s="52"/>
      <c r="N109" s="52"/>
      <c r="O109" s="52"/>
      <c r="P109" s="52"/>
      <c r="Q109" s="52"/>
      <c r="R109" s="52"/>
      <c r="S109" s="52"/>
      <c r="T109" s="52">
        <f t="shared" si="3"/>
        <v>354325</v>
      </c>
      <c r="U109" s="8">
        <v>246199.52</v>
      </c>
      <c r="V109" s="17" t="s">
        <v>123</v>
      </c>
    </row>
    <row r="110" spans="1:22" x14ac:dyDescent="0.25">
      <c r="A110" s="50" t="s">
        <v>309</v>
      </c>
      <c r="B110" s="51" t="s">
        <v>124</v>
      </c>
      <c r="C110" s="6">
        <v>117875</v>
      </c>
      <c r="D110" s="6">
        <v>249732</v>
      </c>
      <c r="E110" s="6">
        <v>163223</v>
      </c>
      <c r="F110" s="6">
        <v>81844</v>
      </c>
      <c r="G110" s="6">
        <v>100560</v>
      </c>
      <c r="H110" s="6">
        <v>237745</v>
      </c>
      <c r="I110" s="6">
        <f t="shared" si="2"/>
        <v>950979</v>
      </c>
      <c r="J110" s="57">
        <v>184254</v>
      </c>
      <c r="K110" s="52"/>
      <c r="L110" s="52"/>
      <c r="M110" s="52"/>
      <c r="N110" s="52"/>
      <c r="O110" s="52"/>
      <c r="P110" s="52"/>
      <c r="Q110" s="52">
        <v>28800</v>
      </c>
      <c r="R110" s="52"/>
      <c r="S110" s="52"/>
      <c r="T110" s="52">
        <f t="shared" si="3"/>
        <v>979779</v>
      </c>
      <c r="U110" s="8">
        <v>1491176</v>
      </c>
      <c r="V110" s="17" t="s">
        <v>124</v>
      </c>
    </row>
    <row r="111" spans="1:22" x14ac:dyDescent="0.25">
      <c r="A111" s="50" t="s">
        <v>310</v>
      </c>
      <c r="B111" s="51" t="s">
        <v>125</v>
      </c>
      <c r="C111" s="6">
        <v>107589</v>
      </c>
      <c r="D111" s="6">
        <v>95648</v>
      </c>
      <c r="E111" s="6">
        <v>114055</v>
      </c>
      <c r="F111" s="6">
        <v>87714</v>
      </c>
      <c r="G111" s="6">
        <v>32113</v>
      </c>
      <c r="H111" s="6">
        <v>145706</v>
      </c>
      <c r="I111" s="6">
        <f t="shared" si="2"/>
        <v>582825</v>
      </c>
      <c r="J111" s="57">
        <v>168176</v>
      </c>
      <c r="K111" s="52"/>
      <c r="L111" s="52"/>
      <c r="M111" s="52"/>
      <c r="N111" s="52"/>
      <c r="O111" s="52"/>
      <c r="P111" s="52"/>
      <c r="Q111" s="52">
        <v>19200</v>
      </c>
      <c r="R111" s="52"/>
      <c r="S111" s="52"/>
      <c r="T111" s="52">
        <f t="shared" si="3"/>
        <v>602025</v>
      </c>
      <c r="U111" s="8">
        <v>273721</v>
      </c>
      <c r="V111" s="17" t="s">
        <v>125</v>
      </c>
    </row>
    <row r="112" spans="1:22" x14ac:dyDescent="0.25">
      <c r="A112" s="50" t="s">
        <v>311</v>
      </c>
      <c r="B112" s="51" t="s">
        <v>126</v>
      </c>
      <c r="C112" s="6">
        <v>72895</v>
      </c>
      <c r="D112" s="6">
        <v>30848</v>
      </c>
      <c r="E112" s="6">
        <v>56813</v>
      </c>
      <c r="F112" s="6">
        <v>12081</v>
      </c>
      <c r="G112" s="6">
        <v>21938</v>
      </c>
      <c r="H112" s="6">
        <v>64859</v>
      </c>
      <c r="I112" s="6">
        <f t="shared" si="2"/>
        <v>259434</v>
      </c>
      <c r="J112" s="57">
        <v>109715</v>
      </c>
      <c r="K112" s="52"/>
      <c r="L112" s="52"/>
      <c r="M112" s="52"/>
      <c r="N112" s="52"/>
      <c r="O112" s="52"/>
      <c r="P112" s="52"/>
      <c r="Q112" s="52"/>
      <c r="R112" s="52"/>
      <c r="S112" s="52"/>
      <c r="T112" s="52">
        <f t="shared" si="3"/>
        <v>259434</v>
      </c>
      <c r="U112" s="8">
        <v>132156.17000000001</v>
      </c>
      <c r="V112" s="17" t="s">
        <v>126</v>
      </c>
    </row>
    <row r="113" spans="1:22" x14ac:dyDescent="0.25">
      <c r="A113" s="50" t="s">
        <v>312</v>
      </c>
      <c r="B113" s="51" t="s">
        <v>127</v>
      </c>
      <c r="C113" s="6">
        <v>359665</v>
      </c>
      <c r="D113" s="6">
        <v>517610</v>
      </c>
      <c r="E113" s="6">
        <v>162703</v>
      </c>
      <c r="F113" s="6">
        <v>223776</v>
      </c>
      <c r="G113" s="6">
        <v>158763</v>
      </c>
      <c r="H113" s="6">
        <v>474172</v>
      </c>
      <c r="I113" s="6">
        <f t="shared" si="2"/>
        <v>1896689</v>
      </c>
      <c r="J113" s="57">
        <v>562204</v>
      </c>
      <c r="K113" s="52"/>
      <c r="L113" s="52"/>
      <c r="M113" s="52"/>
      <c r="N113" s="52"/>
      <c r="O113" s="52"/>
      <c r="P113" s="52"/>
      <c r="Q113" s="52"/>
      <c r="R113" s="52"/>
      <c r="S113" s="52"/>
      <c r="T113" s="52">
        <f t="shared" si="3"/>
        <v>1896689</v>
      </c>
      <c r="U113" s="8">
        <v>4093226</v>
      </c>
      <c r="V113" s="17" t="s">
        <v>127</v>
      </c>
    </row>
    <row r="114" spans="1:22" x14ac:dyDescent="0.25">
      <c r="A114" s="50" t="s">
        <v>313</v>
      </c>
      <c r="B114" s="51" t="s">
        <v>128</v>
      </c>
      <c r="C114" s="6">
        <v>55204</v>
      </c>
      <c r="D114" s="6">
        <v>16362</v>
      </c>
      <c r="E114" s="6">
        <v>40293</v>
      </c>
      <c r="F114" s="6">
        <v>22362</v>
      </c>
      <c r="G114" s="6">
        <v>17959</v>
      </c>
      <c r="H114" s="6">
        <v>50727</v>
      </c>
      <c r="I114" s="6">
        <f t="shared" si="2"/>
        <v>202907</v>
      </c>
      <c r="J114" s="57">
        <v>82125</v>
      </c>
      <c r="K114" s="52"/>
      <c r="L114" s="52"/>
      <c r="M114" s="52"/>
      <c r="N114" s="52"/>
      <c r="O114" s="52"/>
      <c r="P114" s="52"/>
      <c r="Q114" s="52"/>
      <c r="R114" s="52"/>
      <c r="S114" s="52"/>
      <c r="T114" s="52">
        <f t="shared" si="3"/>
        <v>202907</v>
      </c>
      <c r="U114" s="8">
        <v>235959</v>
      </c>
      <c r="V114" s="17" t="s">
        <v>128</v>
      </c>
    </row>
    <row r="115" spans="1:22" x14ac:dyDescent="0.25">
      <c r="A115" s="50" t="s">
        <v>314</v>
      </c>
      <c r="B115" s="51" t="s">
        <v>129</v>
      </c>
      <c r="C115" s="6">
        <v>96491</v>
      </c>
      <c r="D115" s="6">
        <v>16926</v>
      </c>
      <c r="E115" s="6">
        <v>93402</v>
      </c>
      <c r="F115" s="6">
        <v>109509</v>
      </c>
      <c r="G115" s="6">
        <v>23581</v>
      </c>
      <c r="H115" s="6">
        <v>113303</v>
      </c>
      <c r="I115" s="6">
        <f t="shared" si="2"/>
        <v>453212</v>
      </c>
      <c r="J115" s="57">
        <v>147792</v>
      </c>
      <c r="K115" s="52"/>
      <c r="L115" s="52"/>
      <c r="M115" s="52"/>
      <c r="N115" s="52"/>
      <c r="O115" s="52"/>
      <c r="P115" s="52"/>
      <c r="Q115" s="52"/>
      <c r="R115" s="52"/>
      <c r="S115" s="52"/>
      <c r="T115" s="52">
        <f t="shared" si="3"/>
        <v>453212</v>
      </c>
      <c r="U115" s="8">
        <v>162633.56</v>
      </c>
      <c r="V115" s="17" t="s">
        <v>129</v>
      </c>
    </row>
    <row r="116" spans="1:22" x14ac:dyDescent="0.25">
      <c r="A116" s="50" t="s">
        <v>315</v>
      </c>
      <c r="B116" s="51" t="s">
        <v>130</v>
      </c>
      <c r="C116" s="6">
        <v>81017</v>
      </c>
      <c r="D116" s="6">
        <v>85673</v>
      </c>
      <c r="E116" s="6">
        <v>65839</v>
      </c>
      <c r="F116" s="6">
        <v>17528</v>
      </c>
      <c r="G116" s="6">
        <v>9639</v>
      </c>
      <c r="H116" s="6">
        <v>86566</v>
      </c>
      <c r="I116" s="6">
        <f t="shared" si="2"/>
        <v>346262</v>
      </c>
      <c r="J116" s="57">
        <v>126640</v>
      </c>
      <c r="K116" s="52"/>
      <c r="L116" s="52"/>
      <c r="M116" s="52"/>
      <c r="N116" s="52"/>
      <c r="O116" s="52"/>
      <c r="P116" s="52"/>
      <c r="Q116" s="52"/>
      <c r="R116" s="52"/>
      <c r="S116" s="52"/>
      <c r="T116" s="52">
        <f t="shared" si="3"/>
        <v>346262</v>
      </c>
      <c r="U116" s="8">
        <v>108936</v>
      </c>
      <c r="V116" s="17" t="s">
        <v>130</v>
      </c>
    </row>
    <row r="117" spans="1:22" x14ac:dyDescent="0.25">
      <c r="A117" s="50" t="s">
        <v>316</v>
      </c>
      <c r="B117" s="51" t="s">
        <v>131</v>
      </c>
      <c r="C117" s="6">
        <v>54103</v>
      </c>
      <c r="D117" s="6">
        <v>45501</v>
      </c>
      <c r="E117" s="6">
        <v>63072</v>
      </c>
      <c r="F117" s="6">
        <v>19324</v>
      </c>
      <c r="G117" s="6">
        <v>12283</v>
      </c>
      <c r="H117" s="6">
        <v>64761</v>
      </c>
      <c r="I117" s="6">
        <f t="shared" si="2"/>
        <v>259044</v>
      </c>
      <c r="J117" s="57">
        <v>84571</v>
      </c>
      <c r="K117" s="52"/>
      <c r="L117" s="52"/>
      <c r="M117" s="52"/>
      <c r="N117" s="52"/>
      <c r="O117" s="52"/>
      <c r="P117" s="52"/>
      <c r="Q117" s="52"/>
      <c r="R117" s="52"/>
      <c r="S117" s="52"/>
      <c r="T117" s="52">
        <f t="shared" si="3"/>
        <v>259044</v>
      </c>
      <c r="U117" s="8">
        <v>155551.24</v>
      </c>
      <c r="V117" s="17" t="s">
        <v>131</v>
      </c>
    </row>
    <row r="118" spans="1:22" x14ac:dyDescent="0.25">
      <c r="A118" s="50" t="s">
        <v>317</v>
      </c>
      <c r="B118" s="51" t="s">
        <v>132</v>
      </c>
      <c r="C118" s="6">
        <v>527966</v>
      </c>
      <c r="D118" s="6">
        <v>647785</v>
      </c>
      <c r="E118" s="6">
        <v>161515</v>
      </c>
      <c r="F118" s="6">
        <v>209045</v>
      </c>
      <c r="G118" s="6">
        <v>184962</v>
      </c>
      <c r="H118" s="6">
        <v>577091</v>
      </c>
      <c r="I118" s="6">
        <f t="shared" si="2"/>
        <v>2308364</v>
      </c>
      <c r="J118" s="57">
        <v>825281</v>
      </c>
      <c r="K118" s="52">
        <v>50000</v>
      </c>
      <c r="L118" s="52"/>
      <c r="M118" s="52"/>
      <c r="N118" s="52"/>
      <c r="O118" s="52"/>
      <c r="P118" s="52"/>
      <c r="Q118" s="52"/>
      <c r="R118" s="52"/>
      <c r="S118" s="52"/>
      <c r="T118" s="52">
        <f t="shared" si="3"/>
        <v>2358364</v>
      </c>
      <c r="U118" s="8">
        <v>3975799.83</v>
      </c>
      <c r="V118" s="17" t="s">
        <v>132</v>
      </c>
    </row>
    <row r="119" spans="1:22" x14ac:dyDescent="0.25">
      <c r="A119" s="50" t="s">
        <v>318</v>
      </c>
      <c r="B119" s="51" t="s">
        <v>133</v>
      </c>
      <c r="C119" s="6">
        <v>34364</v>
      </c>
      <c r="D119" s="6">
        <v>28175</v>
      </c>
      <c r="E119" s="6">
        <v>19847</v>
      </c>
      <c r="F119" s="6">
        <v>8090</v>
      </c>
      <c r="G119" s="6">
        <v>2774</v>
      </c>
      <c r="H119" s="6">
        <v>31083</v>
      </c>
      <c r="I119" s="6">
        <f t="shared" si="2"/>
        <v>124333</v>
      </c>
      <c r="J119" s="57">
        <v>53716</v>
      </c>
      <c r="K119" s="52"/>
      <c r="L119" s="52"/>
      <c r="M119" s="52"/>
      <c r="N119" s="52"/>
      <c r="O119" s="52"/>
      <c r="P119" s="52"/>
      <c r="Q119" s="52"/>
      <c r="R119" s="52"/>
      <c r="S119" s="52"/>
      <c r="T119" s="52">
        <f t="shared" si="3"/>
        <v>124333</v>
      </c>
      <c r="U119" s="8">
        <v>42276</v>
      </c>
      <c r="V119" s="17" t="s">
        <v>133</v>
      </c>
    </row>
    <row r="120" spans="1:22" x14ac:dyDescent="0.25">
      <c r="A120" s="50" t="s">
        <v>319</v>
      </c>
      <c r="B120" s="51" t="s">
        <v>134</v>
      </c>
      <c r="C120" s="6">
        <v>95579</v>
      </c>
      <c r="D120" s="6">
        <v>151789</v>
      </c>
      <c r="E120" s="6">
        <v>78123</v>
      </c>
      <c r="F120" s="6">
        <v>67894</v>
      </c>
      <c r="G120" s="6">
        <v>18471</v>
      </c>
      <c r="H120" s="6">
        <v>137285</v>
      </c>
      <c r="I120" s="6">
        <f t="shared" si="2"/>
        <v>549141</v>
      </c>
      <c r="J120" s="57">
        <v>149403</v>
      </c>
      <c r="K120" s="52"/>
      <c r="L120" s="52"/>
      <c r="M120" s="52"/>
      <c r="N120" s="52"/>
      <c r="O120" s="52"/>
      <c r="P120" s="52"/>
      <c r="Q120" s="52"/>
      <c r="R120" s="52"/>
      <c r="S120" s="52"/>
      <c r="T120" s="52">
        <f t="shared" si="3"/>
        <v>549141</v>
      </c>
      <c r="U120" s="8">
        <v>525888</v>
      </c>
      <c r="V120" s="17" t="s">
        <v>134</v>
      </c>
    </row>
    <row r="121" spans="1:22" x14ac:dyDescent="0.25">
      <c r="A121" s="50" t="s">
        <v>320</v>
      </c>
      <c r="B121" s="51" t="s">
        <v>135</v>
      </c>
      <c r="C121" s="6">
        <v>56820</v>
      </c>
      <c r="D121" s="6">
        <v>48880</v>
      </c>
      <c r="E121" s="6">
        <v>20015</v>
      </c>
      <c r="F121" s="6">
        <v>26867</v>
      </c>
      <c r="G121" s="6">
        <v>8342</v>
      </c>
      <c r="H121" s="6">
        <v>53641</v>
      </c>
      <c r="I121" s="6">
        <f t="shared" si="2"/>
        <v>214565</v>
      </c>
      <c r="J121" s="57">
        <v>88817</v>
      </c>
      <c r="K121" s="52"/>
      <c r="L121" s="52"/>
      <c r="M121" s="52"/>
      <c r="N121" s="52"/>
      <c r="O121" s="52"/>
      <c r="P121" s="52"/>
      <c r="Q121" s="52"/>
      <c r="R121" s="52"/>
      <c r="S121" s="52"/>
      <c r="T121" s="52">
        <f t="shared" si="3"/>
        <v>214565</v>
      </c>
      <c r="U121" s="8">
        <v>44031.24</v>
      </c>
      <c r="V121" s="17" t="s">
        <v>135</v>
      </c>
    </row>
    <row r="122" spans="1:22" x14ac:dyDescent="0.25">
      <c r="A122" s="50" t="s">
        <v>321</v>
      </c>
      <c r="B122" s="51" t="s">
        <v>136</v>
      </c>
      <c r="C122" s="6">
        <v>34988</v>
      </c>
      <c r="D122" s="6">
        <v>49166</v>
      </c>
      <c r="E122" s="6">
        <v>41737</v>
      </c>
      <c r="F122" s="6">
        <v>5831</v>
      </c>
      <c r="G122" s="6">
        <v>6424</v>
      </c>
      <c r="H122" s="6">
        <v>46049</v>
      </c>
      <c r="I122" s="6">
        <f t="shared" si="2"/>
        <v>184195</v>
      </c>
      <c r="J122" s="57">
        <v>54691</v>
      </c>
      <c r="K122" s="52"/>
      <c r="L122" s="52"/>
      <c r="M122" s="52"/>
      <c r="N122" s="52"/>
      <c r="O122" s="52"/>
      <c r="P122" s="52"/>
      <c r="Q122" s="52"/>
      <c r="R122" s="52"/>
      <c r="S122" s="52"/>
      <c r="T122" s="52">
        <f t="shared" si="3"/>
        <v>184195</v>
      </c>
      <c r="U122" s="8">
        <v>76881.7</v>
      </c>
      <c r="V122" s="17" t="s">
        <v>136</v>
      </c>
    </row>
    <row r="123" spans="1:22" x14ac:dyDescent="0.25">
      <c r="A123" s="50" t="s">
        <v>322</v>
      </c>
      <c r="B123" s="51" t="s">
        <v>137</v>
      </c>
      <c r="C123" s="6">
        <v>178139</v>
      </c>
      <c r="D123" s="6">
        <v>162861</v>
      </c>
      <c r="E123" s="6">
        <v>0</v>
      </c>
      <c r="F123" s="6">
        <v>35963</v>
      </c>
      <c r="G123" s="6">
        <v>61288</v>
      </c>
      <c r="H123" s="6">
        <v>146084</v>
      </c>
      <c r="I123" s="6">
        <f t="shared" si="2"/>
        <v>584335</v>
      </c>
      <c r="J123" s="57">
        <v>278454</v>
      </c>
      <c r="K123" s="52"/>
      <c r="L123" s="52"/>
      <c r="M123" s="52"/>
      <c r="N123" s="52"/>
      <c r="O123" s="52"/>
      <c r="P123" s="52"/>
      <c r="Q123" s="52"/>
      <c r="R123" s="52"/>
      <c r="S123" s="52"/>
      <c r="T123" s="52">
        <f t="shared" si="3"/>
        <v>584335</v>
      </c>
      <c r="U123" s="8">
        <v>419857</v>
      </c>
      <c r="V123" s="17" t="s">
        <v>137</v>
      </c>
    </row>
    <row r="124" spans="1:22" x14ac:dyDescent="0.25">
      <c r="A124" s="50" t="s">
        <v>323</v>
      </c>
      <c r="B124" s="51" t="s">
        <v>138</v>
      </c>
      <c r="C124" s="6">
        <v>29996</v>
      </c>
      <c r="D124" s="6">
        <v>22313</v>
      </c>
      <c r="E124" s="6">
        <v>39079</v>
      </c>
      <c r="F124" s="6">
        <v>10412</v>
      </c>
      <c r="G124" s="6">
        <v>8137</v>
      </c>
      <c r="H124" s="6">
        <v>36646</v>
      </c>
      <c r="I124" s="6">
        <f t="shared" si="2"/>
        <v>146583</v>
      </c>
      <c r="J124" s="57">
        <v>46887</v>
      </c>
      <c r="K124" s="52"/>
      <c r="L124" s="52"/>
      <c r="M124" s="52"/>
      <c r="N124" s="52"/>
      <c r="O124" s="52"/>
      <c r="P124" s="52"/>
      <c r="Q124" s="52"/>
      <c r="R124" s="52"/>
      <c r="S124" s="52"/>
      <c r="T124" s="52">
        <f t="shared" si="3"/>
        <v>146583</v>
      </c>
      <c r="U124" s="8">
        <v>174806</v>
      </c>
      <c r="V124" s="17" t="s">
        <v>138</v>
      </c>
    </row>
    <row r="125" spans="1:22" x14ac:dyDescent="0.25">
      <c r="A125" s="50" t="s">
        <v>324</v>
      </c>
      <c r="B125" s="51" t="s">
        <v>139</v>
      </c>
      <c r="C125" s="6">
        <v>191683</v>
      </c>
      <c r="D125" s="6">
        <v>113185</v>
      </c>
      <c r="E125" s="6">
        <v>75939</v>
      </c>
      <c r="F125" s="6">
        <v>31986</v>
      </c>
      <c r="G125" s="6">
        <v>36263</v>
      </c>
      <c r="H125" s="6">
        <v>149686</v>
      </c>
      <c r="I125" s="6">
        <f t="shared" si="2"/>
        <v>598742</v>
      </c>
      <c r="J125" s="57">
        <v>298516</v>
      </c>
      <c r="K125" s="52"/>
      <c r="L125" s="52"/>
      <c r="M125" s="52"/>
      <c r="N125" s="52">
        <v>27581</v>
      </c>
      <c r="O125" s="52"/>
      <c r="P125" s="52"/>
      <c r="Q125" s="52"/>
      <c r="R125" s="52"/>
      <c r="S125" s="52"/>
      <c r="T125" s="52">
        <f t="shared" si="3"/>
        <v>626323</v>
      </c>
      <c r="U125" s="8">
        <v>48507</v>
      </c>
      <c r="V125" s="17" t="s">
        <v>139</v>
      </c>
    </row>
    <row r="126" spans="1:22" x14ac:dyDescent="0.25">
      <c r="A126" s="50" t="s">
        <v>325</v>
      </c>
      <c r="B126" s="51" t="s">
        <v>140</v>
      </c>
      <c r="C126" s="6">
        <v>121481</v>
      </c>
      <c r="D126" s="6">
        <v>1723</v>
      </c>
      <c r="E126" s="6">
        <v>380532</v>
      </c>
      <c r="F126" s="6">
        <v>132123</v>
      </c>
      <c r="G126" s="6">
        <v>84385</v>
      </c>
      <c r="H126" s="6">
        <v>240082</v>
      </c>
      <c r="I126" s="6">
        <f t="shared" si="2"/>
        <v>960326</v>
      </c>
      <c r="J126" s="57">
        <v>179570</v>
      </c>
      <c r="K126" s="52"/>
      <c r="L126" s="52"/>
      <c r="M126" s="52"/>
      <c r="N126" s="52">
        <v>55711</v>
      </c>
      <c r="O126" s="52"/>
      <c r="P126" s="52"/>
      <c r="Q126" s="52"/>
      <c r="R126" s="52"/>
      <c r="S126" s="52"/>
      <c r="T126" s="52">
        <f t="shared" si="3"/>
        <v>1016037</v>
      </c>
      <c r="U126" s="8">
        <v>2632785</v>
      </c>
      <c r="V126" s="17" t="s">
        <v>140</v>
      </c>
    </row>
    <row r="127" spans="1:22" x14ac:dyDescent="0.25">
      <c r="A127" s="50" t="s">
        <v>326</v>
      </c>
      <c r="B127" s="51" t="s">
        <v>141</v>
      </c>
      <c r="C127" s="6">
        <v>101307</v>
      </c>
      <c r="D127" s="6">
        <v>135087</v>
      </c>
      <c r="E127" s="6">
        <v>196721</v>
      </c>
      <c r="F127" s="6">
        <v>36622</v>
      </c>
      <c r="G127" s="6">
        <v>140794</v>
      </c>
      <c r="H127" s="6">
        <v>203511</v>
      </c>
      <c r="I127" s="6">
        <f t="shared" si="2"/>
        <v>814042</v>
      </c>
      <c r="J127" s="57">
        <v>158231</v>
      </c>
      <c r="K127" s="52"/>
      <c r="L127" s="52"/>
      <c r="M127" s="52"/>
      <c r="N127" s="52"/>
      <c r="O127" s="52"/>
      <c r="P127" s="52"/>
      <c r="Q127" s="52">
        <v>9440</v>
      </c>
      <c r="R127" s="52"/>
      <c r="S127" s="52"/>
      <c r="T127" s="52">
        <f t="shared" si="3"/>
        <v>823482</v>
      </c>
      <c r="U127" s="8">
        <v>2568287.7000000002</v>
      </c>
      <c r="V127" s="17" t="s">
        <v>141</v>
      </c>
    </row>
    <row r="128" spans="1:22" x14ac:dyDescent="0.25">
      <c r="A128" s="50" t="s">
        <v>327</v>
      </c>
      <c r="B128" s="51" t="s">
        <v>142</v>
      </c>
      <c r="C128" s="6">
        <v>37109</v>
      </c>
      <c r="D128" s="6">
        <v>2512</v>
      </c>
      <c r="E128" s="6">
        <v>50539</v>
      </c>
      <c r="F128" s="6">
        <v>8026</v>
      </c>
      <c r="G128" s="6">
        <v>5578</v>
      </c>
      <c r="H128" s="6">
        <v>34588</v>
      </c>
      <c r="I128" s="6">
        <f t="shared" si="2"/>
        <v>138352</v>
      </c>
      <c r="J128" s="57">
        <v>53660</v>
      </c>
      <c r="K128" s="52"/>
      <c r="L128" s="52"/>
      <c r="M128" s="52"/>
      <c r="N128" s="52"/>
      <c r="O128" s="52"/>
      <c r="P128" s="52"/>
      <c r="Q128" s="52"/>
      <c r="R128" s="52"/>
      <c r="S128" s="52"/>
      <c r="T128" s="52">
        <f t="shared" si="3"/>
        <v>138352</v>
      </c>
      <c r="U128" s="8">
        <v>16596</v>
      </c>
      <c r="V128" s="17" t="s">
        <v>142</v>
      </c>
    </row>
    <row r="129" spans="1:22" x14ac:dyDescent="0.25">
      <c r="A129" s="50" t="s">
        <v>328</v>
      </c>
      <c r="B129" s="51" t="s">
        <v>143</v>
      </c>
      <c r="C129" s="6">
        <v>17543</v>
      </c>
      <c r="D129" s="6">
        <v>62015</v>
      </c>
      <c r="E129" s="6">
        <v>38745</v>
      </c>
      <c r="F129" s="6">
        <v>10141</v>
      </c>
      <c r="G129" s="6">
        <v>19136</v>
      </c>
      <c r="H129" s="6">
        <v>49193</v>
      </c>
      <c r="I129" s="6">
        <f t="shared" si="2"/>
        <v>196773</v>
      </c>
      <c r="J129" s="57">
        <v>27422</v>
      </c>
      <c r="K129" s="52"/>
      <c r="L129" s="52"/>
      <c r="M129" s="52"/>
      <c r="N129" s="52"/>
      <c r="O129" s="52"/>
      <c r="P129" s="52"/>
      <c r="Q129" s="52"/>
      <c r="R129" s="52"/>
      <c r="S129" s="52"/>
      <c r="T129" s="52">
        <f t="shared" si="3"/>
        <v>196773</v>
      </c>
      <c r="U129" s="8">
        <v>258041.53</v>
      </c>
      <c r="V129" s="17" t="s">
        <v>143</v>
      </c>
    </row>
    <row r="130" spans="1:22" x14ac:dyDescent="0.25">
      <c r="A130" s="50" t="s">
        <v>329</v>
      </c>
      <c r="B130" s="51" t="s">
        <v>144</v>
      </c>
      <c r="C130" s="6">
        <v>31093</v>
      </c>
      <c r="D130" s="6">
        <v>3356</v>
      </c>
      <c r="E130" s="6">
        <v>17471</v>
      </c>
      <c r="F130" s="6">
        <v>0</v>
      </c>
      <c r="G130" s="6">
        <v>9153</v>
      </c>
      <c r="H130" s="6">
        <v>20358</v>
      </c>
      <c r="I130" s="6">
        <f t="shared" si="2"/>
        <v>81431</v>
      </c>
      <c r="J130" s="57">
        <v>43675</v>
      </c>
      <c r="K130" s="52"/>
      <c r="L130" s="52"/>
      <c r="M130" s="52"/>
      <c r="N130" s="52"/>
      <c r="O130" s="52"/>
      <c r="P130" s="52"/>
      <c r="Q130" s="52"/>
      <c r="R130" s="52"/>
      <c r="S130" s="52"/>
      <c r="T130" s="52">
        <f t="shared" si="3"/>
        <v>81431</v>
      </c>
      <c r="U130" s="8">
        <v>73418</v>
      </c>
      <c r="V130" s="17" t="s">
        <v>144</v>
      </c>
    </row>
    <row r="131" spans="1:22" x14ac:dyDescent="0.25">
      <c r="A131" s="50" t="s">
        <v>330</v>
      </c>
      <c r="B131" s="51" t="s">
        <v>145</v>
      </c>
      <c r="C131" s="6">
        <v>115032</v>
      </c>
      <c r="D131" s="6">
        <v>104112</v>
      </c>
      <c r="E131" s="6">
        <v>55909</v>
      </c>
      <c r="F131" s="6">
        <v>19856</v>
      </c>
      <c r="G131" s="6">
        <v>20662</v>
      </c>
      <c r="H131" s="6">
        <v>105191</v>
      </c>
      <c r="I131" s="6">
        <f t="shared" si="2"/>
        <v>420762</v>
      </c>
      <c r="J131" s="57">
        <v>179811</v>
      </c>
      <c r="K131" s="52"/>
      <c r="L131" s="52"/>
      <c r="M131" s="52"/>
      <c r="N131" s="52"/>
      <c r="O131" s="52"/>
      <c r="P131" s="52"/>
      <c r="Q131" s="52">
        <v>45385</v>
      </c>
      <c r="R131" s="52"/>
      <c r="S131" s="52"/>
      <c r="T131" s="52">
        <f t="shared" si="3"/>
        <v>466147</v>
      </c>
      <c r="U131" s="8">
        <v>352876.83</v>
      </c>
      <c r="V131" s="17" t="s">
        <v>145</v>
      </c>
    </row>
    <row r="132" spans="1:22" x14ac:dyDescent="0.25">
      <c r="A132" s="50" t="s">
        <v>331</v>
      </c>
      <c r="B132" s="51" t="s">
        <v>146</v>
      </c>
      <c r="C132" s="6">
        <v>74032</v>
      </c>
      <c r="D132" s="6">
        <v>156407</v>
      </c>
      <c r="E132" s="6">
        <v>15053</v>
      </c>
      <c r="F132" s="6">
        <v>22289</v>
      </c>
      <c r="G132" s="6">
        <v>7484</v>
      </c>
      <c r="H132" s="6">
        <v>91755</v>
      </c>
      <c r="I132" s="6">
        <f t="shared" ref="I132:I169" si="4">SUM(C132:H132)</f>
        <v>367020</v>
      </c>
      <c r="J132" s="57">
        <v>115721</v>
      </c>
      <c r="K132" s="52"/>
      <c r="L132" s="52"/>
      <c r="M132" s="52"/>
      <c r="N132" s="52"/>
      <c r="O132" s="52"/>
      <c r="P132" s="52"/>
      <c r="Q132" s="52"/>
      <c r="R132" s="52"/>
      <c r="S132" s="52"/>
      <c r="T132" s="52">
        <f t="shared" ref="T132:T169" si="5">I132+SUM(K132:S132)-O132</f>
        <v>367020</v>
      </c>
      <c r="U132" s="8">
        <v>92614.84</v>
      </c>
      <c r="V132" s="17" t="s">
        <v>146</v>
      </c>
    </row>
    <row r="133" spans="1:22" x14ac:dyDescent="0.25">
      <c r="A133" s="50" t="s">
        <v>332</v>
      </c>
      <c r="B133" s="51" t="s">
        <v>147</v>
      </c>
      <c r="C133" s="6">
        <v>325721</v>
      </c>
      <c r="D133" s="6">
        <v>252665</v>
      </c>
      <c r="E133" s="6">
        <v>31288</v>
      </c>
      <c r="F133" s="6">
        <v>135973</v>
      </c>
      <c r="G133" s="6">
        <v>93034</v>
      </c>
      <c r="H133" s="6">
        <v>279561</v>
      </c>
      <c r="I133" s="6">
        <f t="shared" si="4"/>
        <v>1118242</v>
      </c>
      <c r="J133" s="57">
        <v>509145</v>
      </c>
      <c r="K133" s="52"/>
      <c r="L133" s="52"/>
      <c r="M133" s="52"/>
      <c r="N133" s="52">
        <v>107047</v>
      </c>
      <c r="O133" s="52"/>
      <c r="P133" s="52"/>
      <c r="Q133" s="52"/>
      <c r="R133" s="52"/>
      <c r="S133" s="52"/>
      <c r="T133" s="52">
        <f t="shared" si="5"/>
        <v>1225289</v>
      </c>
      <c r="U133" s="8">
        <v>1407436</v>
      </c>
      <c r="V133" s="17" t="s">
        <v>147</v>
      </c>
    </row>
    <row r="134" spans="1:22" x14ac:dyDescent="0.25">
      <c r="A134" s="50" t="s">
        <v>333</v>
      </c>
      <c r="B134" s="51" t="s">
        <v>148</v>
      </c>
      <c r="C134" s="6">
        <v>25439</v>
      </c>
      <c r="D134" s="6">
        <v>23584</v>
      </c>
      <c r="E134" s="6">
        <v>70614</v>
      </c>
      <c r="F134" s="6">
        <v>0</v>
      </c>
      <c r="G134" s="6">
        <v>9968</v>
      </c>
      <c r="H134" s="6">
        <v>43202</v>
      </c>
      <c r="I134" s="6">
        <f t="shared" si="4"/>
        <v>172807</v>
      </c>
      <c r="J134" s="57">
        <v>37600</v>
      </c>
      <c r="K134" s="52"/>
      <c r="L134" s="52"/>
      <c r="M134" s="52"/>
      <c r="N134" s="52"/>
      <c r="O134" s="52"/>
      <c r="P134" s="52"/>
      <c r="Q134" s="52"/>
      <c r="R134" s="52"/>
      <c r="S134" s="52"/>
      <c r="T134" s="52">
        <f t="shared" si="5"/>
        <v>172807</v>
      </c>
      <c r="U134" s="8">
        <v>200554.44</v>
      </c>
      <c r="V134" s="17" t="s">
        <v>148</v>
      </c>
    </row>
    <row r="135" spans="1:22" x14ac:dyDescent="0.25">
      <c r="A135" s="50" t="s">
        <v>334</v>
      </c>
      <c r="B135" s="51" t="s">
        <v>149</v>
      </c>
      <c r="C135" s="6">
        <v>39067</v>
      </c>
      <c r="D135" s="6">
        <v>53131</v>
      </c>
      <c r="E135" s="6">
        <v>8975</v>
      </c>
      <c r="F135" s="6">
        <v>10658</v>
      </c>
      <c r="G135" s="6">
        <v>5161</v>
      </c>
      <c r="H135" s="6">
        <v>38998</v>
      </c>
      <c r="I135" s="6">
        <f t="shared" si="4"/>
        <v>155990</v>
      </c>
      <c r="J135" s="57">
        <v>61066</v>
      </c>
      <c r="K135" s="52"/>
      <c r="L135" s="52"/>
      <c r="M135" s="52"/>
      <c r="N135" s="52"/>
      <c r="O135" s="52"/>
      <c r="P135" s="52"/>
      <c r="Q135" s="52"/>
      <c r="R135" s="52"/>
      <c r="S135" s="52"/>
      <c r="T135" s="52">
        <f t="shared" si="5"/>
        <v>155990</v>
      </c>
      <c r="U135" s="8">
        <v>13573.97</v>
      </c>
      <c r="V135" s="17" t="s">
        <v>149</v>
      </c>
    </row>
    <row r="136" spans="1:22" x14ac:dyDescent="0.25">
      <c r="A136" s="50" t="s">
        <v>335</v>
      </c>
      <c r="B136" s="51" t="s">
        <v>150</v>
      </c>
      <c r="C136" s="6">
        <v>217268</v>
      </c>
      <c r="D136" s="6">
        <v>196508</v>
      </c>
      <c r="E136" s="6">
        <v>109937</v>
      </c>
      <c r="F136" s="6">
        <v>223225</v>
      </c>
      <c r="G136" s="6">
        <v>80128</v>
      </c>
      <c r="H136" s="6">
        <v>275689</v>
      </c>
      <c r="I136" s="6">
        <f t="shared" si="4"/>
        <v>1102755</v>
      </c>
      <c r="J136" s="57">
        <v>339618</v>
      </c>
      <c r="K136" s="52"/>
      <c r="L136" s="52"/>
      <c r="M136" s="52"/>
      <c r="N136" s="52"/>
      <c r="O136" s="52"/>
      <c r="P136" s="52"/>
      <c r="Q136" s="52"/>
      <c r="R136" s="52"/>
      <c r="S136" s="52"/>
      <c r="T136" s="52">
        <f t="shared" si="5"/>
        <v>1102755</v>
      </c>
      <c r="U136" s="8">
        <v>2431358.29</v>
      </c>
      <c r="V136" s="17" t="s">
        <v>150</v>
      </c>
    </row>
    <row r="137" spans="1:22" x14ac:dyDescent="0.25">
      <c r="A137" s="50" t="s">
        <v>336</v>
      </c>
      <c r="B137" s="51" t="s">
        <v>151</v>
      </c>
      <c r="C137" s="6">
        <v>11006</v>
      </c>
      <c r="D137" s="6">
        <v>13321</v>
      </c>
      <c r="E137" s="6">
        <v>20680</v>
      </c>
      <c r="F137" s="6">
        <v>8418</v>
      </c>
      <c r="G137" s="6">
        <v>2676</v>
      </c>
      <c r="H137" s="6">
        <v>18701</v>
      </c>
      <c r="I137" s="6">
        <f t="shared" si="4"/>
        <v>74802</v>
      </c>
      <c r="J137" s="57">
        <v>17203</v>
      </c>
      <c r="K137" s="52"/>
      <c r="L137" s="52"/>
      <c r="M137" s="52"/>
      <c r="N137" s="52"/>
      <c r="O137" s="52"/>
      <c r="P137" s="52"/>
      <c r="Q137" s="52"/>
      <c r="R137" s="52"/>
      <c r="S137" s="52"/>
      <c r="T137" s="52">
        <f t="shared" si="5"/>
        <v>74802</v>
      </c>
      <c r="U137" s="8">
        <v>54588.24</v>
      </c>
      <c r="V137" s="17" t="s">
        <v>151</v>
      </c>
    </row>
    <row r="138" spans="1:22" x14ac:dyDescent="0.25">
      <c r="A138" s="50" t="s">
        <v>337</v>
      </c>
      <c r="B138" s="51" t="s">
        <v>152</v>
      </c>
      <c r="C138" s="6">
        <v>260468</v>
      </c>
      <c r="D138" s="6">
        <v>209422</v>
      </c>
      <c r="E138" s="6">
        <v>66911</v>
      </c>
      <c r="F138" s="6">
        <v>25551</v>
      </c>
      <c r="G138" s="6">
        <v>48189</v>
      </c>
      <c r="H138" s="6">
        <v>203514</v>
      </c>
      <c r="I138" s="6">
        <f t="shared" si="4"/>
        <v>814055</v>
      </c>
      <c r="J138" s="57">
        <v>407145</v>
      </c>
      <c r="K138" s="52"/>
      <c r="L138" s="52"/>
      <c r="M138" s="52"/>
      <c r="N138" s="52"/>
      <c r="O138" s="52"/>
      <c r="P138" s="52"/>
      <c r="Q138" s="52"/>
      <c r="R138" s="52"/>
      <c r="S138" s="52"/>
      <c r="T138" s="52">
        <f t="shared" si="5"/>
        <v>814055</v>
      </c>
      <c r="U138" s="8">
        <v>55035</v>
      </c>
      <c r="V138" s="19" t="s">
        <v>152</v>
      </c>
    </row>
    <row r="139" spans="1:22" x14ac:dyDescent="0.25">
      <c r="A139" s="50" t="s">
        <v>338</v>
      </c>
      <c r="B139" s="51" t="s">
        <v>153</v>
      </c>
      <c r="C139" s="6">
        <v>21205</v>
      </c>
      <c r="D139" s="6">
        <v>17626</v>
      </c>
      <c r="E139" s="6">
        <v>10752</v>
      </c>
      <c r="F139" s="6">
        <v>8404</v>
      </c>
      <c r="G139" s="6">
        <v>3611</v>
      </c>
      <c r="H139" s="6">
        <v>20533</v>
      </c>
      <c r="I139" s="6">
        <f t="shared" si="4"/>
        <v>82131</v>
      </c>
      <c r="J139" s="57">
        <v>33146</v>
      </c>
      <c r="K139" s="52"/>
      <c r="L139" s="52"/>
      <c r="M139" s="52"/>
      <c r="N139" s="52"/>
      <c r="O139" s="52"/>
      <c r="P139" s="52"/>
      <c r="Q139" s="52"/>
      <c r="R139" s="52"/>
      <c r="S139" s="52"/>
      <c r="T139" s="52">
        <f t="shared" si="5"/>
        <v>82131</v>
      </c>
      <c r="U139" s="8">
        <v>24230.46</v>
      </c>
      <c r="V139" s="17" t="s">
        <v>153</v>
      </c>
    </row>
    <row r="140" spans="1:22" x14ac:dyDescent="0.25">
      <c r="A140" s="50" t="s">
        <v>339</v>
      </c>
      <c r="B140" s="51" t="s">
        <v>154</v>
      </c>
      <c r="C140" s="6">
        <v>53482</v>
      </c>
      <c r="D140" s="6">
        <v>55072</v>
      </c>
      <c r="E140" s="6">
        <v>0</v>
      </c>
      <c r="F140" s="6">
        <v>12532</v>
      </c>
      <c r="G140" s="6">
        <v>5928</v>
      </c>
      <c r="H140" s="6">
        <v>42338</v>
      </c>
      <c r="I140" s="6">
        <f t="shared" si="4"/>
        <v>169352</v>
      </c>
      <c r="J140" s="57">
        <v>83600</v>
      </c>
      <c r="K140" s="52"/>
      <c r="L140" s="52"/>
      <c r="M140" s="52"/>
      <c r="N140" s="52"/>
      <c r="O140" s="52"/>
      <c r="P140" s="52"/>
      <c r="Q140" s="52"/>
      <c r="R140" s="52"/>
      <c r="S140" s="52"/>
      <c r="T140" s="52">
        <f t="shared" si="5"/>
        <v>169352</v>
      </c>
      <c r="U140" s="8">
        <v>91280.29</v>
      </c>
      <c r="V140" s="17" t="s">
        <v>154</v>
      </c>
    </row>
    <row r="141" spans="1:22" x14ac:dyDescent="0.25">
      <c r="A141" s="50" t="s">
        <v>340</v>
      </c>
      <c r="B141" s="51" t="s">
        <v>155</v>
      </c>
      <c r="C141" s="6">
        <v>1037932</v>
      </c>
      <c r="D141" s="6">
        <v>1054351</v>
      </c>
      <c r="E141" s="6">
        <v>894846</v>
      </c>
      <c r="F141" s="6">
        <v>840632</v>
      </c>
      <c r="G141" s="6">
        <v>855607</v>
      </c>
      <c r="H141" s="6">
        <v>1561123</v>
      </c>
      <c r="I141" s="6">
        <f t="shared" si="4"/>
        <v>6244491</v>
      </c>
      <c r="J141" s="57">
        <v>1622426</v>
      </c>
      <c r="K141" s="52">
        <v>141875</v>
      </c>
      <c r="L141" s="52"/>
      <c r="M141" s="52"/>
      <c r="N141" s="52">
        <v>216800</v>
      </c>
      <c r="O141" s="52"/>
      <c r="P141" s="52"/>
      <c r="Q141" s="52">
        <v>109775</v>
      </c>
      <c r="R141" s="52">
        <v>212893</v>
      </c>
      <c r="S141" s="52"/>
      <c r="T141" s="52">
        <f t="shared" si="5"/>
        <v>6925834</v>
      </c>
      <c r="U141" s="8">
        <v>13137214</v>
      </c>
      <c r="V141" s="17" t="s">
        <v>155</v>
      </c>
    </row>
    <row r="142" spans="1:22" x14ac:dyDescent="0.25">
      <c r="A142" s="50" t="s">
        <v>341</v>
      </c>
      <c r="B142" s="51" t="s">
        <v>156</v>
      </c>
      <c r="C142" s="6">
        <v>184744</v>
      </c>
      <c r="D142" s="6">
        <v>317488</v>
      </c>
      <c r="E142" s="6">
        <v>28275</v>
      </c>
      <c r="F142" s="6">
        <v>70907</v>
      </c>
      <c r="G142" s="6">
        <v>26806</v>
      </c>
      <c r="H142" s="6">
        <v>209407</v>
      </c>
      <c r="I142" s="6">
        <f t="shared" si="4"/>
        <v>837627</v>
      </c>
      <c r="J142" s="57">
        <v>288780</v>
      </c>
      <c r="K142" s="52"/>
      <c r="L142" s="52"/>
      <c r="M142" s="52"/>
      <c r="N142" s="52"/>
      <c r="O142" s="52"/>
      <c r="P142" s="52"/>
      <c r="Q142" s="52"/>
      <c r="R142" s="52"/>
      <c r="S142" s="52"/>
      <c r="T142" s="52">
        <f t="shared" si="5"/>
        <v>837627</v>
      </c>
      <c r="U142" s="8">
        <v>2559339</v>
      </c>
      <c r="V142" s="17" t="s">
        <v>156</v>
      </c>
    </row>
    <row r="143" spans="1:22" x14ac:dyDescent="0.25">
      <c r="A143" s="50" t="s">
        <v>342</v>
      </c>
      <c r="B143" s="51" t="s">
        <v>157</v>
      </c>
      <c r="C143" s="6">
        <v>60211</v>
      </c>
      <c r="D143" s="6">
        <v>0</v>
      </c>
      <c r="E143" s="6">
        <v>41649</v>
      </c>
      <c r="F143" s="6">
        <v>7810</v>
      </c>
      <c r="G143" s="6">
        <v>11309</v>
      </c>
      <c r="H143" s="6">
        <v>40326</v>
      </c>
      <c r="I143" s="6">
        <f t="shared" si="4"/>
        <v>161305</v>
      </c>
      <c r="J143" s="57">
        <v>83985</v>
      </c>
      <c r="K143" s="52"/>
      <c r="L143" s="52"/>
      <c r="M143" s="52"/>
      <c r="N143" s="52"/>
      <c r="O143" s="52"/>
      <c r="P143" s="52"/>
      <c r="Q143" s="52"/>
      <c r="R143" s="52"/>
      <c r="S143" s="52"/>
      <c r="T143" s="52">
        <f t="shared" si="5"/>
        <v>161305</v>
      </c>
      <c r="U143" s="8">
        <v>117869</v>
      </c>
      <c r="V143" s="17" t="s">
        <v>157</v>
      </c>
    </row>
    <row r="144" spans="1:22" x14ac:dyDescent="0.25">
      <c r="A144" s="50" t="s">
        <v>343</v>
      </c>
      <c r="B144" s="51" t="s">
        <v>158</v>
      </c>
      <c r="C144" s="6">
        <v>134094</v>
      </c>
      <c r="D144" s="6">
        <v>121249</v>
      </c>
      <c r="E144" s="6">
        <v>0</v>
      </c>
      <c r="F144" s="6">
        <v>19657</v>
      </c>
      <c r="G144" s="6">
        <v>44253</v>
      </c>
      <c r="H144" s="6">
        <v>106418</v>
      </c>
      <c r="I144" s="6">
        <f t="shared" si="4"/>
        <v>425671</v>
      </c>
      <c r="J144" s="57">
        <v>209607</v>
      </c>
      <c r="K144" s="52"/>
      <c r="L144" s="52"/>
      <c r="M144" s="52"/>
      <c r="N144" s="52"/>
      <c r="O144" s="52"/>
      <c r="P144" s="52"/>
      <c r="Q144" s="52"/>
      <c r="R144" s="52"/>
      <c r="S144" s="52"/>
      <c r="T144" s="52">
        <f t="shared" si="5"/>
        <v>425671</v>
      </c>
      <c r="U144" s="8">
        <v>128931.11</v>
      </c>
      <c r="V144" s="17" t="s">
        <v>158</v>
      </c>
    </row>
    <row r="145" spans="1:22" x14ac:dyDescent="0.25">
      <c r="A145" s="50" t="s">
        <v>344</v>
      </c>
      <c r="B145" s="51" t="s">
        <v>159</v>
      </c>
      <c r="C145" s="6">
        <v>62615</v>
      </c>
      <c r="D145" s="6">
        <v>184177</v>
      </c>
      <c r="E145" s="6">
        <v>278314</v>
      </c>
      <c r="F145" s="6">
        <v>22503</v>
      </c>
      <c r="G145" s="6">
        <v>50394</v>
      </c>
      <c r="H145" s="6">
        <v>199335</v>
      </c>
      <c r="I145" s="6">
        <f t="shared" si="4"/>
        <v>797338</v>
      </c>
      <c r="J145" s="57">
        <v>97876</v>
      </c>
      <c r="K145" s="52">
        <v>90000</v>
      </c>
      <c r="L145" s="52"/>
      <c r="M145" s="52"/>
      <c r="N145" s="52">
        <v>31940</v>
      </c>
      <c r="O145" s="52"/>
      <c r="P145" s="52"/>
      <c r="Q145" s="52">
        <v>96000</v>
      </c>
      <c r="R145" s="52"/>
      <c r="S145" s="52"/>
      <c r="T145" s="52">
        <f t="shared" si="5"/>
        <v>1015278</v>
      </c>
      <c r="U145" s="8">
        <v>1525673.01</v>
      </c>
      <c r="V145" s="17" t="s">
        <v>159</v>
      </c>
    </row>
    <row r="146" spans="1:22" x14ac:dyDescent="0.25">
      <c r="A146" s="50" t="s">
        <v>345</v>
      </c>
      <c r="B146" s="51" t="s">
        <v>160</v>
      </c>
      <c r="C146" s="6">
        <v>601255</v>
      </c>
      <c r="D146" s="6">
        <v>1117652</v>
      </c>
      <c r="E146" s="6">
        <v>663543</v>
      </c>
      <c r="F146" s="6">
        <v>1692416</v>
      </c>
      <c r="G146" s="6">
        <v>159868</v>
      </c>
      <c r="H146" s="6">
        <v>1411578</v>
      </c>
      <c r="I146" s="6">
        <f t="shared" si="4"/>
        <v>5646312</v>
      </c>
      <c r="J146" s="57">
        <v>939841</v>
      </c>
      <c r="K146" s="52">
        <v>256250</v>
      </c>
      <c r="L146" s="52"/>
      <c r="M146" s="52"/>
      <c r="N146" s="52">
        <v>153725</v>
      </c>
      <c r="O146" s="52"/>
      <c r="P146" s="52"/>
      <c r="Q146" s="52">
        <v>98132</v>
      </c>
      <c r="R146" s="52"/>
      <c r="S146" s="52"/>
      <c r="T146" s="52">
        <f t="shared" si="5"/>
        <v>6154419</v>
      </c>
      <c r="U146" s="8">
        <v>24626383.920000002</v>
      </c>
      <c r="V146" s="17" t="s">
        <v>160</v>
      </c>
    </row>
    <row r="147" spans="1:22" x14ac:dyDescent="0.25">
      <c r="A147" s="50" t="s">
        <v>346</v>
      </c>
      <c r="B147" s="51" t="s">
        <v>161</v>
      </c>
      <c r="C147" s="6">
        <v>47749</v>
      </c>
      <c r="D147" s="6">
        <v>44257</v>
      </c>
      <c r="E147" s="6">
        <v>0</v>
      </c>
      <c r="F147" s="6">
        <v>6816</v>
      </c>
      <c r="G147" s="6">
        <v>9544</v>
      </c>
      <c r="H147" s="6">
        <v>36122</v>
      </c>
      <c r="I147" s="6">
        <f t="shared" si="4"/>
        <v>144488</v>
      </c>
      <c r="J147" s="57">
        <v>74638</v>
      </c>
      <c r="K147" s="52"/>
      <c r="L147" s="52"/>
      <c r="M147" s="52"/>
      <c r="N147" s="52">
        <v>27580</v>
      </c>
      <c r="O147" s="52"/>
      <c r="P147" s="52"/>
      <c r="Q147" s="52"/>
      <c r="R147" s="52"/>
      <c r="S147" s="52"/>
      <c r="T147" s="52">
        <f t="shared" si="5"/>
        <v>172068</v>
      </c>
      <c r="U147" s="8">
        <v>48031.68</v>
      </c>
      <c r="V147" s="17" t="s">
        <v>161</v>
      </c>
    </row>
    <row r="148" spans="1:22" x14ac:dyDescent="0.25">
      <c r="A148" s="50" t="s">
        <v>347</v>
      </c>
      <c r="B148" s="51" t="s">
        <v>162</v>
      </c>
      <c r="C148" s="6">
        <v>87505</v>
      </c>
      <c r="D148" s="6">
        <v>91299</v>
      </c>
      <c r="E148" s="6">
        <v>23161</v>
      </c>
      <c r="F148" s="6">
        <v>15241</v>
      </c>
      <c r="G148" s="6">
        <v>9960</v>
      </c>
      <c r="H148" s="6">
        <v>75722</v>
      </c>
      <c r="I148" s="6">
        <f t="shared" si="4"/>
        <v>302888</v>
      </c>
      <c r="J148" s="57">
        <v>136782</v>
      </c>
      <c r="K148" s="52"/>
      <c r="L148" s="52"/>
      <c r="M148" s="52"/>
      <c r="N148" s="52"/>
      <c r="O148" s="52"/>
      <c r="P148" s="52"/>
      <c r="Q148" s="52"/>
      <c r="R148" s="52"/>
      <c r="S148" s="52"/>
      <c r="T148" s="52">
        <f t="shared" si="5"/>
        <v>302888</v>
      </c>
      <c r="U148" s="8">
        <v>46470</v>
      </c>
      <c r="V148" s="17" t="s">
        <v>162</v>
      </c>
    </row>
    <row r="149" spans="1:22" x14ac:dyDescent="0.25">
      <c r="A149" s="50" t="s">
        <v>348</v>
      </c>
      <c r="B149" s="51" t="s">
        <v>163</v>
      </c>
      <c r="C149" s="6">
        <v>20665</v>
      </c>
      <c r="D149" s="6">
        <v>29048</v>
      </c>
      <c r="E149" s="6">
        <v>0</v>
      </c>
      <c r="F149" s="6">
        <v>8135</v>
      </c>
      <c r="G149" s="6">
        <v>4283</v>
      </c>
      <c r="H149" s="6">
        <v>20710</v>
      </c>
      <c r="I149" s="6">
        <f t="shared" si="4"/>
        <v>82841</v>
      </c>
      <c r="J149" s="57">
        <v>32303</v>
      </c>
      <c r="K149" s="52"/>
      <c r="L149" s="52"/>
      <c r="M149" s="52"/>
      <c r="N149" s="52"/>
      <c r="O149" s="52"/>
      <c r="P149" s="52"/>
      <c r="Q149" s="52"/>
      <c r="R149" s="52"/>
      <c r="S149" s="52"/>
      <c r="T149" s="52">
        <f t="shared" si="5"/>
        <v>82841</v>
      </c>
      <c r="U149" s="8">
        <v>96341</v>
      </c>
      <c r="V149" s="17" t="s">
        <v>163</v>
      </c>
    </row>
    <row r="150" spans="1:22" x14ac:dyDescent="0.25">
      <c r="A150" s="50" t="s">
        <v>349</v>
      </c>
      <c r="B150" s="51" t="s">
        <v>164</v>
      </c>
      <c r="C150" s="6">
        <v>94678</v>
      </c>
      <c r="D150" s="6">
        <v>95596</v>
      </c>
      <c r="E150" s="6">
        <v>18665</v>
      </c>
      <c r="F150" s="6">
        <v>8622</v>
      </c>
      <c r="G150" s="6">
        <v>18117</v>
      </c>
      <c r="H150" s="6">
        <v>78559</v>
      </c>
      <c r="I150" s="6">
        <f t="shared" si="4"/>
        <v>314237</v>
      </c>
      <c r="J150" s="57">
        <v>147994</v>
      </c>
      <c r="K150" s="52"/>
      <c r="L150" s="52"/>
      <c r="M150" s="52"/>
      <c r="N150" s="52"/>
      <c r="O150" s="52"/>
      <c r="P150" s="52"/>
      <c r="Q150" s="52"/>
      <c r="R150" s="52"/>
      <c r="S150" s="52"/>
      <c r="T150" s="52">
        <f t="shared" si="5"/>
        <v>314237</v>
      </c>
      <c r="U150" s="8">
        <v>135938.07</v>
      </c>
      <c r="V150" s="17" t="s">
        <v>164</v>
      </c>
    </row>
    <row r="151" spans="1:22" x14ac:dyDescent="0.25">
      <c r="A151" s="50" t="s">
        <v>350</v>
      </c>
      <c r="B151" s="51" t="s">
        <v>165</v>
      </c>
      <c r="C151" s="6">
        <v>207095</v>
      </c>
      <c r="D151" s="6">
        <v>187736</v>
      </c>
      <c r="E151" s="6">
        <v>0</v>
      </c>
      <c r="F151" s="6">
        <v>29091</v>
      </c>
      <c r="G151" s="6">
        <v>26806</v>
      </c>
      <c r="H151" s="6">
        <v>150243</v>
      </c>
      <c r="I151" s="6">
        <f t="shared" si="4"/>
        <v>600971</v>
      </c>
      <c r="J151" s="57">
        <v>323718</v>
      </c>
      <c r="K151" s="52"/>
      <c r="L151" s="52">
        <v>48752</v>
      </c>
      <c r="M151" s="52"/>
      <c r="N151" s="52"/>
      <c r="O151" s="52"/>
      <c r="P151" s="52"/>
      <c r="Q151" s="52">
        <v>61440</v>
      </c>
      <c r="R151" s="52"/>
      <c r="S151" s="52"/>
      <c r="T151" s="52">
        <f t="shared" si="5"/>
        <v>711163</v>
      </c>
      <c r="U151" s="8">
        <v>327930</v>
      </c>
      <c r="V151" s="17" t="s">
        <v>165</v>
      </c>
    </row>
    <row r="152" spans="1:22" x14ac:dyDescent="0.25">
      <c r="A152" s="50" t="s">
        <v>351</v>
      </c>
      <c r="B152" s="51" t="s">
        <v>166</v>
      </c>
      <c r="C152" s="6">
        <v>97502</v>
      </c>
      <c r="D152" s="6"/>
      <c r="E152" s="6">
        <v>127346</v>
      </c>
      <c r="F152" s="6">
        <v>51442</v>
      </c>
      <c r="G152" s="6">
        <v>72825</v>
      </c>
      <c r="H152" s="6">
        <v>116370</v>
      </c>
      <c r="I152" s="6">
        <f t="shared" si="4"/>
        <v>465485</v>
      </c>
      <c r="J152" s="57">
        <v>143150</v>
      </c>
      <c r="K152" s="52"/>
      <c r="L152" s="52"/>
      <c r="M152" s="52"/>
      <c r="N152" s="52"/>
      <c r="O152" s="52"/>
      <c r="P152" s="52"/>
      <c r="Q152" s="52">
        <v>51275</v>
      </c>
      <c r="R152" s="52"/>
      <c r="S152" s="52"/>
      <c r="T152" s="52">
        <f t="shared" si="5"/>
        <v>516760</v>
      </c>
      <c r="U152" s="8">
        <v>308323</v>
      </c>
      <c r="V152" s="17" t="s">
        <v>166</v>
      </c>
    </row>
    <row r="153" spans="1:22" x14ac:dyDescent="0.25">
      <c r="A153" s="50" t="s">
        <v>352</v>
      </c>
      <c r="B153" s="51" t="s">
        <v>167</v>
      </c>
      <c r="C153" s="6">
        <v>234640</v>
      </c>
      <c r="D153" s="6">
        <v>171545</v>
      </c>
      <c r="E153" s="6">
        <v>0</v>
      </c>
      <c r="F153" s="6">
        <v>181277</v>
      </c>
      <c r="G153" s="6">
        <v>36494</v>
      </c>
      <c r="H153" s="6">
        <v>207985</v>
      </c>
      <c r="I153" s="6">
        <f t="shared" si="4"/>
        <v>831941</v>
      </c>
      <c r="J153" s="57">
        <v>366773</v>
      </c>
      <c r="K153" s="52"/>
      <c r="L153" s="52"/>
      <c r="M153" s="52"/>
      <c r="N153" s="52"/>
      <c r="O153" s="52"/>
      <c r="P153" s="52"/>
      <c r="Q153" s="52"/>
      <c r="R153" s="52"/>
      <c r="S153" s="52"/>
      <c r="T153" s="52">
        <f t="shared" si="5"/>
        <v>831941</v>
      </c>
      <c r="U153" s="8">
        <v>1329478.92</v>
      </c>
      <c r="V153" s="17" t="s">
        <v>167</v>
      </c>
    </row>
    <row r="154" spans="1:22" x14ac:dyDescent="0.25">
      <c r="A154" s="50" t="s">
        <v>353</v>
      </c>
      <c r="B154" s="51" t="s">
        <v>168</v>
      </c>
      <c r="C154" s="6">
        <v>136959</v>
      </c>
      <c r="D154" s="6">
        <v>93531</v>
      </c>
      <c r="E154" s="6">
        <v>10838</v>
      </c>
      <c r="F154" s="6">
        <v>26589</v>
      </c>
      <c r="G154" s="6">
        <v>24380</v>
      </c>
      <c r="H154" s="6">
        <v>97433</v>
      </c>
      <c r="I154" s="6">
        <f t="shared" si="4"/>
        <v>389730</v>
      </c>
      <c r="J154" s="57">
        <v>214084</v>
      </c>
      <c r="K154" s="52"/>
      <c r="L154" s="52"/>
      <c r="M154" s="52"/>
      <c r="N154" s="52"/>
      <c r="O154" s="52"/>
      <c r="P154" s="52"/>
      <c r="Q154" s="52"/>
      <c r="R154" s="52"/>
      <c r="S154" s="52"/>
      <c r="T154" s="52">
        <f t="shared" si="5"/>
        <v>389730</v>
      </c>
      <c r="U154" s="8">
        <v>109878.58</v>
      </c>
      <c r="V154" s="17" t="s">
        <v>168</v>
      </c>
    </row>
    <row r="155" spans="1:22" x14ac:dyDescent="0.25">
      <c r="A155" s="50" t="s">
        <v>354</v>
      </c>
      <c r="B155" s="51" t="s">
        <v>169</v>
      </c>
      <c r="C155" s="6">
        <v>56544</v>
      </c>
      <c r="D155" s="6">
        <v>66349</v>
      </c>
      <c r="E155" s="6">
        <v>27274</v>
      </c>
      <c r="F155" s="6">
        <v>15752</v>
      </c>
      <c r="G155" s="6">
        <v>5711</v>
      </c>
      <c r="H155" s="6">
        <v>57210</v>
      </c>
      <c r="I155" s="6">
        <f t="shared" si="4"/>
        <v>228840</v>
      </c>
      <c r="J155" s="57">
        <v>88386</v>
      </c>
      <c r="K155" s="52"/>
      <c r="L155" s="52"/>
      <c r="M155" s="52"/>
      <c r="N155" s="52"/>
      <c r="O155" s="52"/>
      <c r="P155" s="52"/>
      <c r="Q155" s="52"/>
      <c r="R155" s="52"/>
      <c r="S155" s="52"/>
      <c r="T155" s="52">
        <f t="shared" si="5"/>
        <v>228840</v>
      </c>
      <c r="U155" s="8">
        <v>152391.82</v>
      </c>
      <c r="V155" s="17" t="s">
        <v>169</v>
      </c>
    </row>
    <row r="156" spans="1:22" x14ac:dyDescent="0.25">
      <c r="A156" s="50" t="s">
        <v>355</v>
      </c>
      <c r="B156" s="51" t="s">
        <v>170</v>
      </c>
      <c r="C156" s="6">
        <v>28573</v>
      </c>
      <c r="D156" s="6">
        <v>23029</v>
      </c>
      <c r="E156" s="6">
        <v>64039</v>
      </c>
      <c r="F156" s="6">
        <v>7875</v>
      </c>
      <c r="G156" s="6">
        <v>5852</v>
      </c>
      <c r="H156" s="6">
        <v>43123</v>
      </c>
      <c r="I156" s="6">
        <f t="shared" si="4"/>
        <v>172491</v>
      </c>
      <c r="J156" s="57">
        <v>43036</v>
      </c>
      <c r="K156" s="52"/>
      <c r="L156" s="52"/>
      <c r="M156" s="52"/>
      <c r="N156" s="52"/>
      <c r="O156" s="52"/>
      <c r="P156" s="52"/>
      <c r="Q156" s="52"/>
      <c r="R156" s="52"/>
      <c r="S156" s="52"/>
      <c r="T156" s="52">
        <f t="shared" si="5"/>
        <v>172491</v>
      </c>
      <c r="U156" s="8">
        <v>98096.639999999999</v>
      </c>
      <c r="V156" s="17" t="s">
        <v>170</v>
      </c>
    </row>
    <row r="157" spans="1:22" x14ac:dyDescent="0.25">
      <c r="A157" s="50" t="s">
        <v>356</v>
      </c>
      <c r="B157" s="51" t="s">
        <v>171</v>
      </c>
      <c r="C157" s="6">
        <v>536277</v>
      </c>
      <c r="D157" s="6">
        <v>513191</v>
      </c>
      <c r="E157" s="6">
        <v>187849</v>
      </c>
      <c r="F157" s="6">
        <v>146645</v>
      </c>
      <c r="G157" s="6">
        <v>174243</v>
      </c>
      <c r="H157" s="6">
        <v>519402</v>
      </c>
      <c r="I157" s="6">
        <f t="shared" si="4"/>
        <v>2077607</v>
      </c>
      <c r="J157" s="57">
        <v>838273</v>
      </c>
      <c r="K157" s="52"/>
      <c r="L157" s="52">
        <v>26294</v>
      </c>
      <c r="M157" s="52"/>
      <c r="N157" s="52"/>
      <c r="O157" s="52"/>
      <c r="P157" s="52"/>
      <c r="Q157" s="52">
        <v>86045</v>
      </c>
      <c r="R157" s="52"/>
      <c r="S157" s="52"/>
      <c r="T157" s="52">
        <f t="shared" si="5"/>
        <v>2189946</v>
      </c>
      <c r="U157" s="8">
        <v>1632738</v>
      </c>
      <c r="V157" s="17" t="s">
        <v>171</v>
      </c>
    </row>
    <row r="158" spans="1:22" x14ac:dyDescent="0.25">
      <c r="A158" s="50" t="s">
        <v>357</v>
      </c>
      <c r="B158" s="51" t="s">
        <v>172</v>
      </c>
      <c r="C158" s="6">
        <v>82584</v>
      </c>
      <c r="D158" s="6">
        <v>78412</v>
      </c>
      <c r="E158" s="6">
        <v>16168</v>
      </c>
      <c r="F158" s="6">
        <v>46288</v>
      </c>
      <c r="G158" s="6">
        <v>50563</v>
      </c>
      <c r="H158" s="6">
        <v>91338</v>
      </c>
      <c r="I158" s="6">
        <f t="shared" si="4"/>
        <v>365353</v>
      </c>
      <c r="J158" s="57">
        <v>129090</v>
      </c>
      <c r="K158" s="52"/>
      <c r="L158" s="52"/>
      <c r="M158" s="52"/>
      <c r="N158" s="52"/>
      <c r="O158" s="52"/>
      <c r="P158" s="52"/>
      <c r="Q158" s="52">
        <v>145416</v>
      </c>
      <c r="R158" s="52"/>
      <c r="S158" s="52"/>
      <c r="T158" s="52">
        <f t="shared" si="5"/>
        <v>510769</v>
      </c>
      <c r="U158" s="8">
        <v>214938.56</v>
      </c>
      <c r="V158" s="17" t="s">
        <v>172</v>
      </c>
    </row>
    <row r="159" spans="1:22" x14ac:dyDescent="0.25">
      <c r="A159" s="50" t="s">
        <v>358</v>
      </c>
      <c r="B159" s="51" t="s">
        <v>173</v>
      </c>
      <c r="C159" s="6">
        <v>34162</v>
      </c>
      <c r="D159" s="6">
        <v>30871</v>
      </c>
      <c r="E159" s="6">
        <v>18398</v>
      </c>
      <c r="F159" s="6">
        <v>8050</v>
      </c>
      <c r="G159" s="6">
        <v>3638</v>
      </c>
      <c r="H159" s="6">
        <v>31706</v>
      </c>
      <c r="I159" s="6">
        <f t="shared" si="4"/>
        <v>126825</v>
      </c>
      <c r="J159" s="57">
        <v>53399</v>
      </c>
      <c r="K159" s="52"/>
      <c r="L159" s="52"/>
      <c r="M159" s="52"/>
      <c r="N159" s="52"/>
      <c r="O159" s="52"/>
      <c r="P159" s="52"/>
      <c r="Q159" s="52"/>
      <c r="R159" s="52"/>
      <c r="S159" s="52"/>
      <c r="T159" s="52">
        <f t="shared" si="5"/>
        <v>126825</v>
      </c>
      <c r="U159" s="8">
        <v>65417.5</v>
      </c>
      <c r="V159" s="17" t="s">
        <v>173</v>
      </c>
    </row>
    <row r="160" spans="1:22" x14ac:dyDescent="0.25">
      <c r="A160" s="50" t="s">
        <v>359</v>
      </c>
      <c r="B160" s="51" t="s">
        <v>174</v>
      </c>
      <c r="C160" s="6">
        <v>202071</v>
      </c>
      <c r="D160" s="6">
        <v>359220</v>
      </c>
      <c r="E160" s="6">
        <v>19860</v>
      </c>
      <c r="F160" s="6">
        <v>95509</v>
      </c>
      <c r="G160" s="6">
        <v>86688</v>
      </c>
      <c r="H160" s="6">
        <v>254450</v>
      </c>
      <c r="I160" s="6">
        <f t="shared" si="4"/>
        <v>1017798</v>
      </c>
      <c r="J160" s="57">
        <v>315865</v>
      </c>
      <c r="K160" s="52"/>
      <c r="L160" s="52"/>
      <c r="M160" s="52"/>
      <c r="N160" s="52"/>
      <c r="O160" s="52"/>
      <c r="P160" s="52"/>
      <c r="Q160" s="52"/>
      <c r="R160" s="52"/>
      <c r="S160" s="52"/>
      <c r="T160" s="52">
        <f t="shared" si="5"/>
        <v>1017798</v>
      </c>
      <c r="U160" s="8">
        <v>1687266.35</v>
      </c>
      <c r="V160" s="17" t="s">
        <v>174</v>
      </c>
    </row>
    <row r="161" spans="1:22" x14ac:dyDescent="0.25">
      <c r="A161" s="50" t="s">
        <v>360</v>
      </c>
      <c r="B161" s="51" t="s">
        <v>175</v>
      </c>
      <c r="C161" s="6">
        <v>60751</v>
      </c>
      <c r="D161" s="6">
        <v>31631</v>
      </c>
      <c r="E161" s="6">
        <v>18189</v>
      </c>
      <c r="F161" s="6">
        <v>7875</v>
      </c>
      <c r="G161" s="6">
        <v>5844</v>
      </c>
      <c r="H161" s="6">
        <v>41430</v>
      </c>
      <c r="I161" s="6">
        <f t="shared" si="4"/>
        <v>165720</v>
      </c>
      <c r="J161" s="57">
        <v>94121</v>
      </c>
      <c r="K161" s="52"/>
      <c r="L161" s="52"/>
      <c r="M161" s="52"/>
      <c r="N161" s="52"/>
      <c r="O161" s="52"/>
      <c r="P161" s="52"/>
      <c r="Q161" s="52"/>
      <c r="R161" s="52"/>
      <c r="S161" s="52"/>
      <c r="T161" s="52">
        <f t="shared" si="5"/>
        <v>165720</v>
      </c>
      <c r="U161" s="8">
        <v>33457.39</v>
      </c>
      <c r="V161" s="17" t="s">
        <v>175</v>
      </c>
    </row>
    <row r="162" spans="1:22" x14ac:dyDescent="0.25">
      <c r="A162" s="50" t="s">
        <v>361</v>
      </c>
      <c r="B162" s="51" t="s">
        <v>176</v>
      </c>
      <c r="C162" s="6">
        <v>69604</v>
      </c>
      <c r="D162" s="6">
        <v>60457</v>
      </c>
      <c r="E162" s="6">
        <v>31136</v>
      </c>
      <c r="F162" s="6">
        <v>9371</v>
      </c>
      <c r="G162" s="6">
        <v>13561</v>
      </c>
      <c r="H162" s="6">
        <v>61376</v>
      </c>
      <c r="I162" s="6">
        <f t="shared" si="4"/>
        <v>245505</v>
      </c>
      <c r="J162" s="57">
        <v>108801</v>
      </c>
      <c r="K162" s="52"/>
      <c r="L162" s="52"/>
      <c r="M162" s="52"/>
      <c r="N162" s="52"/>
      <c r="O162" s="52"/>
      <c r="P162" s="52"/>
      <c r="Q162" s="52">
        <v>48000</v>
      </c>
      <c r="R162" s="52"/>
      <c r="S162" s="52"/>
      <c r="T162" s="52">
        <f t="shared" si="5"/>
        <v>293505</v>
      </c>
      <c r="U162" s="8">
        <v>40638</v>
      </c>
      <c r="V162" s="17" t="s">
        <v>176</v>
      </c>
    </row>
    <row r="163" spans="1:22" x14ac:dyDescent="0.25">
      <c r="A163" s="50" t="s">
        <v>362</v>
      </c>
      <c r="B163" s="51" t="s">
        <v>177</v>
      </c>
      <c r="C163" s="6">
        <v>329378</v>
      </c>
      <c r="D163" s="6">
        <v>266084</v>
      </c>
      <c r="E163" s="6">
        <v>386289</v>
      </c>
      <c r="F163" s="6">
        <v>217077</v>
      </c>
      <c r="G163" s="6">
        <v>144281</v>
      </c>
      <c r="H163" s="6">
        <v>447703</v>
      </c>
      <c r="I163" s="6">
        <f t="shared" si="4"/>
        <v>1790812</v>
      </c>
      <c r="J163" s="57">
        <v>514214</v>
      </c>
      <c r="K163" s="52"/>
      <c r="L163" s="52"/>
      <c r="M163" s="52"/>
      <c r="N163" s="52"/>
      <c r="O163" s="52"/>
      <c r="P163" s="52"/>
      <c r="Q163" s="52">
        <v>56410</v>
      </c>
      <c r="R163" s="52"/>
      <c r="S163" s="52"/>
      <c r="T163" s="52">
        <f t="shared" si="5"/>
        <v>1847222</v>
      </c>
      <c r="U163" s="8">
        <v>6622877.0999999996</v>
      </c>
      <c r="V163" s="17" t="s">
        <v>177</v>
      </c>
    </row>
    <row r="164" spans="1:22" x14ac:dyDescent="0.25">
      <c r="A164" s="50" t="s">
        <v>363</v>
      </c>
      <c r="B164" s="51" t="s">
        <v>178</v>
      </c>
      <c r="C164" s="6">
        <v>13351</v>
      </c>
      <c r="D164" s="6">
        <v>21335</v>
      </c>
      <c r="E164" s="6">
        <v>22113</v>
      </c>
      <c r="F164" s="6">
        <v>3905</v>
      </c>
      <c r="G164" s="6">
        <v>2225</v>
      </c>
      <c r="H164" s="6">
        <v>20976</v>
      </c>
      <c r="I164" s="6">
        <f t="shared" si="4"/>
        <v>83905</v>
      </c>
      <c r="J164" s="57">
        <v>20870</v>
      </c>
      <c r="K164" s="52"/>
      <c r="L164" s="52"/>
      <c r="M164" s="52"/>
      <c r="N164" s="52"/>
      <c r="O164" s="52"/>
      <c r="P164" s="52"/>
      <c r="Q164" s="52">
        <v>38400</v>
      </c>
      <c r="R164" s="52"/>
      <c r="S164" s="52"/>
      <c r="T164" s="52">
        <f t="shared" si="5"/>
        <v>122305</v>
      </c>
      <c r="U164" s="8">
        <v>42226.01</v>
      </c>
      <c r="V164" s="17" t="s">
        <v>178</v>
      </c>
    </row>
    <row r="165" spans="1:22" x14ac:dyDescent="0.25">
      <c r="A165" s="50" t="s">
        <v>364</v>
      </c>
      <c r="B165" s="51" t="s">
        <v>179</v>
      </c>
      <c r="C165" s="6">
        <v>73862</v>
      </c>
      <c r="D165" s="6">
        <v>86451</v>
      </c>
      <c r="E165" s="6">
        <v>105910</v>
      </c>
      <c r="F165" s="6">
        <v>19981</v>
      </c>
      <c r="G165" s="6">
        <v>23911</v>
      </c>
      <c r="H165" s="6">
        <v>103372</v>
      </c>
      <c r="I165" s="6">
        <f t="shared" si="4"/>
        <v>413487</v>
      </c>
      <c r="J165" s="57">
        <v>115456</v>
      </c>
      <c r="K165" s="52"/>
      <c r="L165" s="52"/>
      <c r="M165" s="52"/>
      <c r="N165" s="52"/>
      <c r="O165" s="52"/>
      <c r="P165" s="52"/>
      <c r="Q165" s="52"/>
      <c r="R165" s="52"/>
      <c r="S165" s="52"/>
      <c r="T165" s="52">
        <f t="shared" si="5"/>
        <v>413487</v>
      </c>
      <c r="U165" s="8">
        <v>188460</v>
      </c>
      <c r="V165" s="17" t="s">
        <v>179</v>
      </c>
    </row>
    <row r="166" spans="1:22" x14ac:dyDescent="0.25">
      <c r="A166" s="53" t="s">
        <v>365</v>
      </c>
      <c r="B166" s="54" t="s">
        <v>180</v>
      </c>
      <c r="C166" s="6">
        <v>80983</v>
      </c>
      <c r="D166" s="6">
        <v>30692</v>
      </c>
      <c r="E166" s="6">
        <v>8210</v>
      </c>
      <c r="F166" s="6">
        <v>38315</v>
      </c>
      <c r="G166" s="6">
        <v>23983</v>
      </c>
      <c r="H166" s="6">
        <v>60728</v>
      </c>
      <c r="I166" s="6">
        <f t="shared" si="4"/>
        <v>242911</v>
      </c>
      <c r="J166" s="57">
        <v>126587</v>
      </c>
      <c r="K166" s="55"/>
      <c r="L166" s="55"/>
      <c r="M166" s="55"/>
      <c r="N166" s="55"/>
      <c r="O166" s="55"/>
      <c r="P166" s="55"/>
      <c r="Q166" s="55"/>
      <c r="R166" s="55"/>
      <c r="S166" s="55"/>
      <c r="T166" s="52">
        <f t="shared" si="5"/>
        <v>242911</v>
      </c>
      <c r="U166" s="8">
        <v>209518.93</v>
      </c>
      <c r="V166" s="17" t="s">
        <v>180</v>
      </c>
    </row>
    <row r="167" spans="1:22" x14ac:dyDescent="0.25">
      <c r="A167" s="50" t="s">
        <v>366</v>
      </c>
      <c r="B167" s="51" t="s">
        <v>181</v>
      </c>
      <c r="C167" s="6">
        <v>7946</v>
      </c>
      <c r="D167" s="6">
        <v>22869</v>
      </c>
      <c r="E167" s="6">
        <v>24352</v>
      </c>
      <c r="F167" s="6">
        <v>0</v>
      </c>
      <c r="G167" s="6">
        <v>2167</v>
      </c>
      <c r="H167" s="6">
        <v>19112</v>
      </c>
      <c r="I167" s="6">
        <f t="shared" si="4"/>
        <v>76446</v>
      </c>
      <c r="J167" s="57">
        <v>12421</v>
      </c>
      <c r="K167" s="52"/>
      <c r="L167" s="52"/>
      <c r="M167" s="52"/>
      <c r="N167" s="52"/>
      <c r="O167" s="52"/>
      <c r="P167" s="52"/>
      <c r="Q167" s="52"/>
      <c r="R167" s="52"/>
      <c r="S167" s="52"/>
      <c r="T167" s="52">
        <f t="shared" si="5"/>
        <v>76446</v>
      </c>
      <c r="U167" s="8">
        <v>146795.92000000001</v>
      </c>
      <c r="V167" s="17" t="s">
        <v>181</v>
      </c>
    </row>
    <row r="168" spans="1:22" x14ac:dyDescent="0.25">
      <c r="A168" s="50" t="s">
        <v>367</v>
      </c>
      <c r="B168" s="51" t="s">
        <v>182</v>
      </c>
      <c r="C168" s="6">
        <v>93761</v>
      </c>
      <c r="D168" s="6">
        <v>64077</v>
      </c>
      <c r="E168" s="6">
        <v>0</v>
      </c>
      <c r="F168" s="6">
        <v>12243</v>
      </c>
      <c r="G168" s="6">
        <v>22167</v>
      </c>
      <c r="H168" s="6">
        <v>64083</v>
      </c>
      <c r="I168" s="6">
        <f t="shared" si="4"/>
        <v>256331</v>
      </c>
      <c r="J168" s="57">
        <v>146561</v>
      </c>
      <c r="K168" s="52"/>
      <c r="L168" s="52"/>
      <c r="M168" s="52"/>
      <c r="N168" s="52"/>
      <c r="O168" s="52"/>
      <c r="P168" s="52"/>
      <c r="Q168" s="52"/>
      <c r="R168" s="52"/>
      <c r="S168" s="52"/>
      <c r="T168" s="52">
        <f t="shared" si="5"/>
        <v>256331</v>
      </c>
      <c r="U168" s="8">
        <v>279878.31</v>
      </c>
      <c r="V168" s="17" t="s">
        <v>182</v>
      </c>
    </row>
    <row r="169" spans="1:22" s="10" customFormat="1" ht="15.75" x14ac:dyDescent="0.25">
      <c r="A169" s="50" t="s">
        <v>368</v>
      </c>
      <c r="B169" s="51" t="s">
        <v>183</v>
      </c>
      <c r="C169" s="6">
        <v>60864</v>
      </c>
      <c r="D169" s="6">
        <v>39459</v>
      </c>
      <c r="E169" s="6">
        <v>37480</v>
      </c>
      <c r="F169" s="6">
        <v>13017</v>
      </c>
      <c r="G169" s="6">
        <v>2269</v>
      </c>
      <c r="H169" s="6">
        <v>51030</v>
      </c>
      <c r="I169" s="6">
        <f t="shared" si="4"/>
        <v>204119</v>
      </c>
      <c r="J169" s="57">
        <v>89773</v>
      </c>
      <c r="K169" s="52"/>
      <c r="L169" s="52"/>
      <c r="M169" s="52"/>
      <c r="N169" s="52"/>
      <c r="O169" s="52"/>
      <c r="P169" s="52"/>
      <c r="Q169" s="52">
        <v>100454</v>
      </c>
      <c r="R169" s="52"/>
      <c r="S169" s="52"/>
      <c r="T169" s="52">
        <f t="shared" si="5"/>
        <v>304573</v>
      </c>
      <c r="U169" s="8">
        <v>184845</v>
      </c>
      <c r="V169" s="17" t="s">
        <v>183</v>
      </c>
    </row>
    <row r="170" spans="1:22" x14ac:dyDescent="0.25">
      <c r="A170"/>
      <c r="B170"/>
      <c r="C170"/>
      <c r="D170"/>
      <c r="E170"/>
      <c r="F170"/>
      <c r="G170"/>
      <c r="H170"/>
      <c r="I170"/>
      <c r="J170"/>
      <c r="K170"/>
      <c r="V170" s="20" t="s">
        <v>184</v>
      </c>
    </row>
    <row r="171" spans="1:22" s="10" customFormat="1" ht="15.75" x14ac:dyDescent="0.25">
      <c r="A171" s="24"/>
      <c r="B171" s="11" t="s">
        <v>11</v>
      </c>
      <c r="C171" s="12">
        <f>SUM(C4:C170)</f>
        <v>24226104</v>
      </c>
      <c r="D171" s="12">
        <f t="shared" ref="D171:U171" si="6">SUM(D4:D170)</f>
        <v>30043183</v>
      </c>
      <c r="E171" s="12">
        <f t="shared" si="6"/>
        <v>15928301</v>
      </c>
      <c r="F171" s="12">
        <f t="shared" si="6"/>
        <v>16410203</v>
      </c>
      <c r="G171" s="12">
        <f t="shared" si="6"/>
        <v>10792517</v>
      </c>
      <c r="H171" s="12">
        <f t="shared" si="6"/>
        <v>32466794</v>
      </c>
      <c r="I171" s="12">
        <f t="shared" si="6"/>
        <v>129867102</v>
      </c>
      <c r="J171" s="12">
        <f t="shared" si="6"/>
        <v>37711162</v>
      </c>
      <c r="K171" s="12">
        <f t="shared" si="6"/>
        <v>1805699</v>
      </c>
      <c r="L171" s="12">
        <f t="shared" si="6"/>
        <v>100000</v>
      </c>
      <c r="M171" s="12">
        <f t="shared" si="6"/>
        <v>1000000</v>
      </c>
      <c r="N171" s="12">
        <f t="shared" si="6"/>
        <v>1895175</v>
      </c>
      <c r="O171" s="12">
        <f t="shared" si="6"/>
        <v>0</v>
      </c>
      <c r="P171" s="12">
        <f t="shared" si="6"/>
        <v>0</v>
      </c>
      <c r="Q171" s="12">
        <f t="shared" si="6"/>
        <v>2575232</v>
      </c>
      <c r="R171" s="12">
        <f t="shared" si="6"/>
        <v>417745</v>
      </c>
      <c r="S171" s="12">
        <f t="shared" si="6"/>
        <v>250000</v>
      </c>
      <c r="T171" s="12">
        <f t="shared" si="6"/>
        <v>137910953</v>
      </c>
      <c r="U171" s="12">
        <f t="shared" si="6"/>
        <v>288633369.38</v>
      </c>
      <c r="V171" s="21" t="s">
        <v>3</v>
      </c>
    </row>
  </sheetData>
  <sheetProtection algorithmName="SHA-512" hashValue="Zs+m3SCYewxcw9OO1LAdkOpb3SYm64vn3WvKfIDUyrGgc6OMZsy3IqqpUQHi5jCZVSWU9xZy7rOPLXdIR95C+g==" saltValue="8/QCDd/8BmhK8Cy+bO8+IQ==" spinCount="100000" sheet="1" objects="1" scenarios="1" selectLockedCells="1"/>
  <autoFilter ref="A1:V171"/>
  <pageMargins left="0.25" right="0.25" top="0.75" bottom="0.75" header="0.3" footer="0.3"/>
  <pageSetup scale="48" fitToHeight="0" orientation="landscape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E5" sqref="E5"/>
    </sheetView>
  </sheetViews>
  <sheetFormatPr defaultRowHeight="15" x14ac:dyDescent="0.25"/>
  <sheetData>
    <row r="1" spans="1:4" x14ac:dyDescent="0.25">
      <c r="A1" t="s">
        <v>378</v>
      </c>
      <c r="D1" t="s">
        <v>458</v>
      </c>
    </row>
    <row r="2" spans="1:4" x14ac:dyDescent="0.25">
      <c r="A2" t="s">
        <v>379</v>
      </c>
      <c r="D2">
        <v>2019</v>
      </c>
    </row>
    <row r="3" spans="1:4" x14ac:dyDescent="0.25">
      <c r="A3" t="s">
        <v>380</v>
      </c>
      <c r="D3">
        <v>2020</v>
      </c>
    </row>
    <row r="4" spans="1:4" x14ac:dyDescent="0.25">
      <c r="A4" t="s">
        <v>381</v>
      </c>
      <c r="D4">
        <v>2021</v>
      </c>
    </row>
    <row r="5" spans="1:4" x14ac:dyDescent="0.25">
      <c r="A5" t="s">
        <v>382</v>
      </c>
      <c r="D5">
        <v>2022</v>
      </c>
    </row>
    <row r="6" spans="1:4" x14ac:dyDescent="0.25">
      <c r="A6" t="s">
        <v>385</v>
      </c>
      <c r="D6">
        <v>2023</v>
      </c>
    </row>
    <row r="7" spans="1:4" x14ac:dyDescent="0.25">
      <c r="A7" t="s">
        <v>383</v>
      </c>
      <c r="D7">
        <v>2024</v>
      </c>
    </row>
    <row r="8" spans="1:4" x14ac:dyDescent="0.25">
      <c r="A8" t="s">
        <v>384</v>
      </c>
      <c r="D8">
        <v>2025</v>
      </c>
    </row>
    <row r="9" spans="1:4" x14ac:dyDescent="0.25">
      <c r="A9" t="s">
        <v>457</v>
      </c>
      <c r="D9">
        <v>2026</v>
      </c>
    </row>
    <row r="12" spans="1:4" x14ac:dyDescent="0.25">
      <c r="A12" t="s">
        <v>388</v>
      </c>
    </row>
    <row r="13" spans="1:4" x14ac:dyDescent="0.25">
      <c r="A13" t="s">
        <v>400</v>
      </c>
    </row>
    <row r="14" spans="1:4" x14ac:dyDescent="0.25">
      <c r="A14" t="s">
        <v>401</v>
      </c>
    </row>
    <row r="15" spans="1:4" x14ac:dyDescent="0.25">
      <c r="A15" t="s">
        <v>402</v>
      </c>
    </row>
    <row r="16" spans="1:4" x14ac:dyDescent="0.25">
      <c r="A16" t="s">
        <v>403</v>
      </c>
    </row>
    <row r="17" spans="1:1" x14ac:dyDescent="0.25">
      <c r="A17" t="s">
        <v>404</v>
      </c>
    </row>
    <row r="20" spans="1:1" x14ac:dyDescent="0.25">
      <c r="A20" t="s">
        <v>391</v>
      </c>
    </row>
    <row r="21" spans="1:1" x14ac:dyDescent="0.25">
      <c r="A21" t="s">
        <v>392</v>
      </c>
    </row>
    <row r="22" spans="1:1" x14ac:dyDescent="0.25">
      <c r="A22" t="s">
        <v>393</v>
      </c>
    </row>
    <row r="23" spans="1:1" x14ac:dyDescent="0.25">
      <c r="A23" t="s">
        <v>452</v>
      </c>
    </row>
    <row r="24" spans="1:1" x14ac:dyDescent="0.25">
      <c r="A24" t="s">
        <v>394</v>
      </c>
    </row>
    <row r="27" spans="1:1" x14ac:dyDescent="0.25">
      <c r="A27" t="s">
        <v>396</v>
      </c>
    </row>
    <row r="28" spans="1:1" x14ac:dyDescent="0.25">
      <c r="A28" t="s">
        <v>397</v>
      </c>
    </row>
    <row r="29" spans="1:1" x14ac:dyDescent="0.25">
      <c r="A29" t="s">
        <v>398</v>
      </c>
    </row>
    <row r="30" spans="1:1" x14ac:dyDescent="0.25">
      <c r="A30" t="s">
        <v>399</v>
      </c>
    </row>
    <row r="31" spans="1:1" x14ac:dyDescent="0.25">
      <c r="A31" t="s">
        <v>405</v>
      </c>
    </row>
    <row r="32" spans="1:1" x14ac:dyDescent="0.25">
      <c r="A32" t="s">
        <v>407</v>
      </c>
    </row>
    <row r="33" spans="1:1" x14ac:dyDescent="0.25">
      <c r="A33" t="s">
        <v>406</v>
      </c>
    </row>
    <row r="34" spans="1:1" x14ac:dyDescent="0.25">
      <c r="A34" t="s">
        <v>408</v>
      </c>
    </row>
    <row r="35" spans="1:1" x14ac:dyDescent="0.25">
      <c r="A35" t="s">
        <v>409</v>
      </c>
    </row>
    <row r="36" spans="1:1" x14ac:dyDescent="0.25">
      <c r="A36" t="s">
        <v>410</v>
      </c>
    </row>
    <row r="37" spans="1:1" x14ac:dyDescent="0.25">
      <c r="A37" t="s">
        <v>411</v>
      </c>
    </row>
    <row r="38" spans="1:1" x14ac:dyDescent="0.25">
      <c r="A38" t="s">
        <v>412</v>
      </c>
    </row>
    <row r="41" spans="1:1" x14ac:dyDescent="0.25">
      <c r="A41" t="s">
        <v>413</v>
      </c>
    </row>
    <row r="42" spans="1:1" x14ac:dyDescent="0.25">
      <c r="A42" t="s">
        <v>414</v>
      </c>
    </row>
    <row r="43" spans="1:1" x14ac:dyDescent="0.25">
      <c r="A43" t="s">
        <v>415</v>
      </c>
    </row>
    <row r="44" spans="1:1" x14ac:dyDescent="0.25">
      <c r="A44" t="s">
        <v>416</v>
      </c>
    </row>
    <row r="45" spans="1:1" x14ac:dyDescent="0.25">
      <c r="A45" t="s">
        <v>417</v>
      </c>
    </row>
    <row r="46" spans="1:1" x14ac:dyDescent="0.25">
      <c r="A46" t="s">
        <v>418</v>
      </c>
    </row>
  </sheetData>
  <sheetProtection algorithmName="SHA-512" hashValue="8vHbCL21GORx3gTVu+cquB0jkDwWnho9wuG6FAuBZ/+rrZ792GiAN5LdtzulUq5ks83qKBtIvL9/0xqENzXrag==" saltValue="seRPl8LjkFxO1Gg/w/mAEg==" spinCount="100000" sheet="1" objects="1" scenarios="1" selectLockedCells="1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F54"/>
  <sheetViews>
    <sheetView tabSelected="1" zoomScaleNormal="100" workbookViewId="0">
      <selection activeCell="B1" sqref="B1"/>
    </sheetView>
  </sheetViews>
  <sheetFormatPr defaultRowHeight="15" x14ac:dyDescent="0.25"/>
  <cols>
    <col min="1" max="1" width="26.28515625" customWidth="1"/>
    <col min="2" max="2" width="27" customWidth="1"/>
    <col min="3" max="3" width="25.85546875" customWidth="1"/>
    <col min="4" max="4" width="22.42578125" customWidth="1"/>
    <col min="5" max="5" width="22.85546875" style="1" customWidth="1"/>
    <col min="6" max="6" width="15.7109375" style="1" customWidth="1"/>
    <col min="7" max="8" width="15.7109375" customWidth="1"/>
  </cols>
  <sheetData>
    <row r="1" spans="1:5" ht="21" x14ac:dyDescent="0.35">
      <c r="A1" s="2" t="s">
        <v>185</v>
      </c>
      <c r="B1" s="97" t="s">
        <v>369</v>
      </c>
      <c r="C1" s="101"/>
      <c r="D1" s="101"/>
      <c r="E1" s="101"/>
    </row>
    <row r="2" spans="1:5" ht="21" x14ac:dyDescent="0.35">
      <c r="A2" s="2" t="s">
        <v>3</v>
      </c>
      <c r="B2" s="96" t="str">
        <f>VLOOKUP($B$1,'FY19 ALLOCATIONS'!$A$1:$T$169,2,FALSE)</f>
        <v>(ENTER YOUR COUNTY NUMBER ABOVE)</v>
      </c>
      <c r="C2" s="96"/>
      <c r="D2" s="96"/>
      <c r="E2" s="96"/>
    </row>
    <row r="4" spans="1:5" ht="21" x14ac:dyDescent="0.35">
      <c r="A4" s="2" t="s">
        <v>387</v>
      </c>
      <c r="B4" s="97"/>
      <c r="C4" s="102"/>
      <c r="D4" s="102"/>
      <c r="E4" s="102"/>
    </row>
    <row r="5" spans="1:5" ht="21" x14ac:dyDescent="0.35">
      <c r="A5" s="2" t="s">
        <v>386</v>
      </c>
      <c r="B5" s="98"/>
      <c r="C5" s="103"/>
      <c r="D5" s="103"/>
      <c r="E5" s="104"/>
    </row>
    <row r="7" spans="1:5" ht="21" x14ac:dyDescent="0.35">
      <c r="A7" s="2" t="s">
        <v>458</v>
      </c>
      <c r="B7" s="97"/>
    </row>
    <row r="9" spans="1:5" ht="21" x14ac:dyDescent="0.35">
      <c r="A9" s="2" t="s">
        <v>378</v>
      </c>
      <c r="B9" s="97"/>
      <c r="C9" s="102"/>
      <c r="D9" s="102"/>
      <c r="E9" s="102"/>
    </row>
    <row r="11" spans="1:5" ht="21" x14ac:dyDescent="0.35">
      <c r="A11" s="2" t="s">
        <v>419</v>
      </c>
      <c r="E11"/>
    </row>
    <row r="12" spans="1:5" ht="15" customHeight="1" x14ac:dyDescent="0.35">
      <c r="A12" s="2"/>
      <c r="E12"/>
    </row>
    <row r="13" spans="1:5" x14ac:dyDescent="0.25">
      <c r="A13" s="64" t="s">
        <v>420</v>
      </c>
      <c r="B13" s="64" t="s">
        <v>421</v>
      </c>
      <c r="C13" s="64" t="s">
        <v>422</v>
      </c>
      <c r="D13" s="111" t="s">
        <v>461</v>
      </c>
      <c r="E13" s="64" t="s">
        <v>456</v>
      </c>
    </row>
    <row r="14" spans="1:5" x14ac:dyDescent="0.25">
      <c r="A14" s="92"/>
      <c r="B14" s="92"/>
      <c r="C14" s="92"/>
      <c r="D14" s="93"/>
      <c r="E14" s="93"/>
    </row>
    <row r="15" spans="1:5" x14ac:dyDescent="0.25">
      <c r="A15" s="92"/>
      <c r="B15" s="92"/>
      <c r="C15" s="92"/>
      <c r="D15" s="93"/>
      <c r="E15" s="93"/>
    </row>
    <row r="16" spans="1:5" x14ac:dyDescent="0.25">
      <c r="A16" s="92"/>
      <c r="B16" s="92"/>
      <c r="C16" s="92"/>
      <c r="D16" s="93"/>
      <c r="E16" s="93"/>
    </row>
    <row r="17" spans="1:5" x14ac:dyDescent="0.25">
      <c r="A17" s="92"/>
      <c r="B17" s="92"/>
      <c r="C17" s="92"/>
      <c r="D17" s="93"/>
      <c r="E17" s="93"/>
    </row>
    <row r="18" spans="1:5" x14ac:dyDescent="0.25">
      <c r="A18" s="92"/>
      <c r="B18" s="92"/>
      <c r="C18" s="92"/>
      <c r="D18" s="93"/>
      <c r="E18" s="93"/>
    </row>
    <row r="19" spans="1:5" x14ac:dyDescent="0.25">
      <c r="A19" s="92"/>
      <c r="B19" s="92"/>
      <c r="C19" s="92"/>
      <c r="D19" s="93"/>
      <c r="E19" s="93"/>
    </row>
    <row r="20" spans="1:5" x14ac:dyDescent="0.25">
      <c r="A20" s="92"/>
      <c r="B20" s="92"/>
      <c r="C20" s="92"/>
      <c r="D20" s="93"/>
      <c r="E20" s="93"/>
    </row>
    <row r="21" spans="1:5" x14ac:dyDescent="0.25">
      <c r="A21" s="92"/>
      <c r="B21" s="92"/>
      <c r="C21" s="92"/>
      <c r="D21" s="93"/>
      <c r="E21" s="93"/>
    </row>
    <row r="22" spans="1:5" x14ac:dyDescent="0.25">
      <c r="A22" s="92"/>
      <c r="B22" s="92"/>
      <c r="C22" s="92"/>
      <c r="D22" s="93"/>
      <c r="E22" s="93"/>
    </row>
    <row r="23" spans="1:5" x14ac:dyDescent="0.25">
      <c r="A23" s="92"/>
      <c r="B23" s="92"/>
      <c r="C23" s="92"/>
      <c r="D23" s="93"/>
      <c r="E23" s="93"/>
    </row>
    <row r="24" spans="1:5" x14ac:dyDescent="0.25">
      <c r="A24" s="92"/>
      <c r="B24" s="92"/>
      <c r="C24" s="92"/>
      <c r="D24" s="93"/>
      <c r="E24" s="93"/>
    </row>
    <row r="25" spans="1:5" x14ac:dyDescent="0.25">
      <c r="A25" s="92"/>
      <c r="B25" s="92"/>
      <c r="C25" s="92"/>
      <c r="D25" s="93"/>
      <c r="E25" s="93"/>
    </row>
    <row r="26" spans="1:5" x14ac:dyDescent="0.25">
      <c r="A26" s="92"/>
      <c r="B26" s="92"/>
      <c r="C26" s="92"/>
      <c r="D26" s="93"/>
      <c r="E26" s="93"/>
    </row>
    <row r="27" spans="1:5" x14ac:dyDescent="0.25">
      <c r="A27" s="92"/>
      <c r="B27" s="92"/>
      <c r="C27" s="92"/>
      <c r="D27" s="93"/>
      <c r="E27" s="93"/>
    </row>
    <row r="28" spans="1:5" x14ac:dyDescent="0.25">
      <c r="A28" s="92"/>
      <c r="B28" s="92"/>
      <c r="C28" s="92"/>
      <c r="D28" s="93"/>
      <c r="E28" s="93"/>
    </row>
    <row r="29" spans="1:5" x14ac:dyDescent="0.25">
      <c r="A29" s="92"/>
      <c r="B29" s="92"/>
      <c r="C29" s="92"/>
      <c r="D29" s="93"/>
      <c r="E29" s="93"/>
    </row>
    <row r="30" spans="1:5" x14ac:dyDescent="0.25">
      <c r="A30" s="92"/>
      <c r="B30" s="92"/>
      <c r="C30" s="92"/>
      <c r="D30" s="93"/>
      <c r="E30" s="93"/>
    </row>
    <row r="31" spans="1:5" x14ac:dyDescent="0.25">
      <c r="A31" s="92"/>
      <c r="B31" s="92"/>
      <c r="C31" s="92"/>
      <c r="D31" s="93"/>
      <c r="E31" s="93"/>
    </row>
    <row r="32" spans="1:5" x14ac:dyDescent="0.25">
      <c r="A32" s="92"/>
      <c r="B32" s="92"/>
      <c r="C32" s="92"/>
      <c r="D32" s="93"/>
      <c r="E32" s="93"/>
    </row>
    <row r="33" spans="1:6" ht="15.75" thickBot="1" x14ac:dyDescent="0.3">
      <c r="A33" s="94"/>
      <c r="B33" s="94"/>
      <c r="C33" s="94"/>
      <c r="D33" s="95"/>
      <c r="E33" s="95"/>
    </row>
    <row r="34" spans="1:6" ht="15.75" thickTop="1" x14ac:dyDescent="0.25">
      <c r="A34" s="66"/>
      <c r="B34" s="66"/>
      <c r="C34" s="66"/>
      <c r="D34" s="66"/>
      <c r="E34" s="66"/>
    </row>
    <row r="35" spans="1:6" x14ac:dyDescent="0.25">
      <c r="C35" s="64" t="s">
        <v>423</v>
      </c>
      <c r="D35" s="65">
        <f>SUM(D14:D33)</f>
        <v>0</v>
      </c>
      <c r="E35" s="65">
        <f>SUM(E14:E33)</f>
        <v>0</v>
      </c>
    </row>
    <row r="36" spans="1:6" x14ac:dyDescent="0.25">
      <c r="C36" s="1"/>
      <c r="D36" s="1"/>
      <c r="E36"/>
      <c r="F36"/>
    </row>
    <row r="37" spans="1:6" ht="15.75" thickBot="1" x14ac:dyDescent="0.3">
      <c r="A37" s="61" t="s">
        <v>389</v>
      </c>
      <c r="D37" s="64" t="s">
        <v>424</v>
      </c>
      <c r="E37" s="65">
        <f>D35+E35</f>
        <v>0</v>
      </c>
    </row>
    <row r="38" spans="1:6" x14ac:dyDescent="0.25">
      <c r="A38" s="119"/>
      <c r="B38" s="120"/>
      <c r="C38" s="120"/>
      <c r="D38" s="120"/>
      <c r="E38" s="121"/>
    </row>
    <row r="39" spans="1:6" x14ac:dyDescent="0.25">
      <c r="A39" s="122"/>
      <c r="B39" s="123"/>
      <c r="C39" s="123"/>
      <c r="D39" s="123"/>
      <c r="E39" s="124"/>
    </row>
    <row r="40" spans="1:6" x14ac:dyDescent="0.25">
      <c r="A40" s="122"/>
      <c r="B40" s="123"/>
      <c r="C40" s="123"/>
      <c r="D40" s="123"/>
      <c r="E40" s="124"/>
    </row>
    <row r="41" spans="1:6" x14ac:dyDescent="0.25">
      <c r="A41" s="122"/>
      <c r="B41" s="123"/>
      <c r="C41" s="123"/>
      <c r="D41" s="123"/>
      <c r="E41" s="124"/>
    </row>
    <row r="42" spans="1:6" s="1" customFormat="1" x14ac:dyDescent="0.25">
      <c r="A42" s="122"/>
      <c r="B42" s="123"/>
      <c r="C42" s="123"/>
      <c r="D42" s="123"/>
      <c r="E42" s="124"/>
    </row>
    <row r="43" spans="1:6" s="1" customFormat="1" x14ac:dyDescent="0.25">
      <c r="A43" s="122"/>
      <c r="B43" s="123"/>
      <c r="C43" s="123"/>
      <c r="D43" s="123"/>
      <c r="E43" s="124"/>
    </row>
    <row r="44" spans="1:6" s="1" customFormat="1" x14ac:dyDescent="0.25">
      <c r="A44" s="122"/>
      <c r="B44" s="123"/>
      <c r="C44" s="123"/>
      <c r="D44" s="123"/>
      <c r="E44" s="124"/>
    </row>
    <row r="45" spans="1:6" s="1" customFormat="1" x14ac:dyDescent="0.25">
      <c r="A45" s="122"/>
      <c r="B45" s="123"/>
      <c r="C45" s="123"/>
      <c r="D45" s="123"/>
      <c r="E45" s="124"/>
    </row>
    <row r="46" spans="1:6" s="1" customFormat="1" x14ac:dyDescent="0.25">
      <c r="A46" s="122"/>
      <c r="B46" s="123"/>
      <c r="C46" s="123"/>
      <c r="D46" s="123"/>
      <c r="E46" s="124"/>
    </row>
    <row r="47" spans="1:6" s="1" customFormat="1" x14ac:dyDescent="0.25">
      <c r="A47" s="122"/>
      <c r="B47" s="123"/>
      <c r="C47" s="123"/>
      <c r="D47" s="123"/>
      <c r="E47" s="124"/>
    </row>
    <row r="48" spans="1:6" s="1" customFormat="1" x14ac:dyDescent="0.25">
      <c r="A48" s="122"/>
      <c r="B48" s="123"/>
      <c r="C48" s="123"/>
      <c r="D48" s="123"/>
      <c r="E48" s="124"/>
    </row>
    <row r="49" spans="1:5" s="1" customFormat="1" ht="15.75" thickBot="1" x14ac:dyDescent="0.3">
      <c r="A49" s="125"/>
      <c r="B49" s="126"/>
      <c r="C49" s="126"/>
      <c r="D49" s="126"/>
      <c r="E49" s="127"/>
    </row>
    <row r="50" spans="1:5" s="1" customFormat="1" ht="15.75" thickBot="1" x14ac:dyDescent="0.3">
      <c r="A50"/>
      <c r="B50"/>
      <c r="C50"/>
      <c r="D50"/>
    </row>
    <row r="51" spans="1:5" s="1" customFormat="1" x14ac:dyDescent="0.25">
      <c r="A51" s="67" t="s">
        <v>395</v>
      </c>
      <c r="B51" s="62"/>
      <c r="C51" s="62"/>
      <c r="D51" s="62"/>
      <c r="E51" s="63"/>
    </row>
    <row r="52" spans="1:5" s="1" customFormat="1" x14ac:dyDescent="0.25">
      <c r="A52" s="59" t="s">
        <v>425</v>
      </c>
      <c r="B52" s="88"/>
      <c r="C52" s="88"/>
      <c r="D52" s="88"/>
      <c r="E52" s="89"/>
    </row>
    <row r="53" spans="1:5" s="1" customFormat="1" x14ac:dyDescent="0.25">
      <c r="A53" s="59" t="s">
        <v>426</v>
      </c>
      <c r="B53" s="88"/>
      <c r="C53" s="88"/>
      <c r="D53" s="88"/>
      <c r="E53" s="89"/>
    </row>
    <row r="54" spans="1:5" s="1" customFormat="1" ht="15.75" thickBot="1" x14ac:dyDescent="0.3">
      <c r="A54" s="60" t="s">
        <v>427</v>
      </c>
      <c r="B54" s="90"/>
      <c r="C54" s="90"/>
      <c r="D54" s="90"/>
      <c r="E54" s="91"/>
    </row>
  </sheetData>
  <sheetProtection algorithmName="SHA-512" hashValue="Mgfn5haaQuv2p/5mY/x27B/3H8kf7UllzoayTRhX4+c8/agbWfx4TXUxLKjOk9o6bkgv42bHzDI92Z9A8N4siA==" saltValue="QCibNzKSUwFDVFg86cFk2A==" spinCount="100000" sheet="1" selectLockedCells="1"/>
  <protectedRanges>
    <protectedRange sqref="B1" name="Range1"/>
  </protectedRanges>
  <mergeCells count="1">
    <mergeCell ref="A38:E49"/>
  </mergeCells>
  <pageMargins left="0.55000000000000004" right="0.55000000000000004" top="0.87" bottom="0.75" header="0.35" footer="0.3"/>
  <pageSetup scale="76" orientation="portrait" r:id="rId1"/>
  <headerFooter>
    <oddHeader>&amp;L&amp;G&amp;CGRANT ADJUSTMENT REQUEST FORM
&amp;A&amp;RTEXAS JUVENILE
JUSTICE DEPARTMENT</oddHeader>
    <oddFooter>&amp;LTJJD-FIS-200   (9/19)&amp;RPage &amp;P of &amp;N</oddFooter>
  </headerFooter>
  <rowBreaks count="1" manualBreakCount="1">
    <brk id="36" max="16383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showInputMessage="1" showErrorMessage="1" promptTitle="GRANT" prompt="Select from list">
          <x14:formula1>
            <xm:f>LISTS!$A$2:$A$9</xm:f>
          </x14:formula1>
          <xm:sqref>B9</xm:sqref>
        </x14:dataValidation>
        <x14:dataValidation type="list" allowBlank="1" showInputMessage="1" showErrorMessage="1" promptTitle="FUNDING" prompt="This is required for Grant A: State Aid">
          <x14:formula1>
            <xm:f>LISTS!$A$13:$A$17</xm:f>
          </x14:formula1>
          <xm:sqref>A14</xm:sqref>
        </x14:dataValidation>
        <x14:dataValidation type="list" allowBlank="1" showInputMessage="1" showErrorMessage="1">
          <x14:formula1>
            <xm:f>LISTS!$A$28:$A$38</xm:f>
          </x14:formula1>
          <xm:sqref>B14:B33</xm:sqref>
        </x14:dataValidation>
        <x14:dataValidation type="list" allowBlank="1" showInputMessage="1" showErrorMessage="1">
          <x14:formula1>
            <xm:f>LISTS!$A$42:$A$46</xm:f>
          </x14:formula1>
          <xm:sqref>C14:C33</xm:sqref>
        </x14:dataValidation>
        <x14:dataValidation type="list" allowBlank="1" showInputMessage="1" showErrorMessage="1" promptTitle="FUNDING" prompt="Required for Grant A">
          <x14:formula1>
            <xm:f>LISTS!$A$13:$A$17</xm:f>
          </x14:formula1>
          <xm:sqref>A15:A33</xm:sqref>
        </x14:dataValidation>
        <x14:dataValidation type="list" showInputMessage="1" showErrorMessage="1" promptTitle="FISCAL YEAR" prompt="Select from list">
          <x14:formula1>
            <xm:f>LISTS!$D$2:$D$9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F32"/>
  <sheetViews>
    <sheetView zoomScaleNormal="100" workbookViewId="0">
      <selection activeCell="B1" sqref="B1"/>
    </sheetView>
  </sheetViews>
  <sheetFormatPr defaultRowHeight="15" x14ac:dyDescent="0.25"/>
  <cols>
    <col min="1" max="1" width="37" bestFit="1" customWidth="1"/>
    <col min="2" max="2" width="34" customWidth="1"/>
    <col min="3" max="3" width="15.7109375" customWidth="1"/>
    <col min="4" max="4" width="11.85546875" customWidth="1"/>
    <col min="5" max="6" width="15.7109375" style="1" customWidth="1"/>
    <col min="7" max="8" width="15.7109375" customWidth="1"/>
  </cols>
  <sheetData>
    <row r="1" spans="1:6" ht="21" x14ac:dyDescent="0.35">
      <c r="A1" s="2" t="s">
        <v>185</v>
      </c>
      <c r="B1" s="97" t="s">
        <v>369</v>
      </c>
      <c r="C1" s="102"/>
      <c r="D1" s="102"/>
      <c r="E1" s="102"/>
    </row>
    <row r="2" spans="1:6" ht="21" x14ac:dyDescent="0.35">
      <c r="A2" s="2" t="s">
        <v>3</v>
      </c>
      <c r="B2" s="96" t="str">
        <f>VLOOKUP($B$1,'FY19 ALLOCATIONS'!$A$1:$T$169,2,FALSE)</f>
        <v>(ENTER YOUR COUNTY NUMBER ABOVE)</v>
      </c>
      <c r="C2" s="96"/>
      <c r="D2" s="96"/>
      <c r="E2" s="96"/>
    </row>
    <row r="3" spans="1:6" x14ac:dyDescent="0.25">
      <c r="C3" s="105"/>
      <c r="D3" s="105"/>
      <c r="E3" s="106"/>
    </row>
    <row r="4" spans="1:6" ht="21" x14ac:dyDescent="0.35">
      <c r="A4" s="2" t="s">
        <v>387</v>
      </c>
      <c r="B4" s="97"/>
      <c r="C4" s="102"/>
      <c r="D4" s="102"/>
      <c r="E4" s="102"/>
    </row>
    <row r="5" spans="1:6" ht="21" x14ac:dyDescent="0.35">
      <c r="A5" s="2" t="s">
        <v>386</v>
      </c>
      <c r="B5" s="98"/>
      <c r="C5" s="103"/>
      <c r="D5" s="103"/>
      <c r="E5" s="104"/>
    </row>
    <row r="6" spans="1:6" x14ac:dyDescent="0.25">
      <c r="C6" s="105"/>
      <c r="D6" s="105"/>
      <c r="E6" s="106"/>
    </row>
    <row r="7" spans="1:6" ht="21" x14ac:dyDescent="0.35">
      <c r="A7" s="2" t="s">
        <v>458</v>
      </c>
      <c r="B7" s="97"/>
      <c r="C7" s="105"/>
      <c r="D7" s="105"/>
      <c r="E7" s="106"/>
    </row>
    <row r="8" spans="1:6" x14ac:dyDescent="0.25">
      <c r="C8" s="105"/>
      <c r="D8" s="105"/>
      <c r="E8" s="106"/>
    </row>
    <row r="9" spans="1:6" ht="21" x14ac:dyDescent="0.35">
      <c r="A9" s="2" t="s">
        <v>378</v>
      </c>
      <c r="B9" s="97"/>
      <c r="C9" s="102"/>
      <c r="D9" s="102"/>
      <c r="E9" s="102"/>
    </row>
    <row r="10" spans="1:6" x14ac:dyDescent="0.25">
      <c r="C10" s="105"/>
      <c r="D10" s="105"/>
      <c r="E10" s="106"/>
    </row>
    <row r="11" spans="1:6" ht="21" x14ac:dyDescent="0.35">
      <c r="A11" s="2" t="s">
        <v>390</v>
      </c>
      <c r="B11" s="108"/>
      <c r="C11" s="107"/>
      <c r="D11" s="107"/>
      <c r="E11" s="107"/>
      <c r="F11"/>
    </row>
    <row r="12" spans="1:6" x14ac:dyDescent="0.25">
      <c r="E12"/>
    </row>
    <row r="13" spans="1:6" x14ac:dyDescent="0.25">
      <c r="C13" s="1"/>
      <c r="D13" s="1"/>
      <c r="E13"/>
      <c r="F13"/>
    </row>
    <row r="14" spans="1:6" ht="15.75" thickBot="1" x14ac:dyDescent="0.3">
      <c r="A14" s="61" t="s">
        <v>389</v>
      </c>
    </row>
    <row r="15" spans="1:6" x14ac:dyDescent="0.25">
      <c r="A15" s="119"/>
      <c r="B15" s="120"/>
      <c r="C15" s="120"/>
      <c r="D15" s="120"/>
      <c r="E15" s="121"/>
    </row>
    <row r="16" spans="1:6" x14ac:dyDescent="0.25">
      <c r="A16" s="122"/>
      <c r="B16" s="123"/>
      <c r="C16" s="123"/>
      <c r="D16" s="123"/>
      <c r="E16" s="124"/>
    </row>
    <row r="17" spans="1:5" x14ac:dyDescent="0.25">
      <c r="A17" s="122"/>
      <c r="B17" s="123"/>
      <c r="C17" s="123"/>
      <c r="D17" s="123"/>
      <c r="E17" s="124"/>
    </row>
    <row r="18" spans="1:5" x14ac:dyDescent="0.25">
      <c r="A18" s="122"/>
      <c r="B18" s="123"/>
      <c r="C18" s="123"/>
      <c r="D18" s="123"/>
      <c r="E18" s="124"/>
    </row>
    <row r="19" spans="1:5" s="1" customFormat="1" x14ac:dyDescent="0.25">
      <c r="A19" s="122"/>
      <c r="B19" s="123"/>
      <c r="C19" s="123"/>
      <c r="D19" s="123"/>
      <c r="E19" s="124"/>
    </row>
    <row r="20" spans="1:5" s="1" customFormat="1" x14ac:dyDescent="0.25">
      <c r="A20" s="122"/>
      <c r="B20" s="123"/>
      <c r="C20" s="123"/>
      <c r="D20" s="123"/>
      <c r="E20" s="124"/>
    </row>
    <row r="21" spans="1:5" s="1" customFormat="1" x14ac:dyDescent="0.25">
      <c r="A21" s="122"/>
      <c r="B21" s="123"/>
      <c r="C21" s="123"/>
      <c r="D21" s="123"/>
      <c r="E21" s="124"/>
    </row>
    <row r="22" spans="1:5" s="1" customFormat="1" x14ac:dyDescent="0.25">
      <c r="A22" s="122"/>
      <c r="B22" s="123"/>
      <c r="C22" s="123"/>
      <c r="D22" s="123"/>
      <c r="E22" s="124"/>
    </row>
    <row r="23" spans="1:5" s="1" customFormat="1" x14ac:dyDescent="0.25">
      <c r="A23" s="122"/>
      <c r="B23" s="123"/>
      <c r="C23" s="123"/>
      <c r="D23" s="123"/>
      <c r="E23" s="124"/>
    </row>
    <row r="24" spans="1:5" s="1" customFormat="1" x14ac:dyDescent="0.25">
      <c r="A24" s="122"/>
      <c r="B24" s="123"/>
      <c r="C24" s="123"/>
      <c r="D24" s="123"/>
      <c r="E24" s="124"/>
    </row>
    <row r="25" spans="1:5" s="1" customFormat="1" x14ac:dyDescent="0.25">
      <c r="A25" s="122"/>
      <c r="B25" s="123"/>
      <c r="C25" s="123"/>
      <c r="D25" s="123"/>
      <c r="E25" s="124"/>
    </row>
    <row r="26" spans="1:5" s="1" customFormat="1" ht="15.75" thickBot="1" x14ac:dyDescent="0.3">
      <c r="A26" s="125"/>
      <c r="B26" s="126"/>
      <c r="C26" s="126"/>
      <c r="D26" s="126"/>
      <c r="E26" s="127"/>
    </row>
    <row r="28" spans="1:5" ht="15.75" thickBot="1" x14ac:dyDescent="0.3"/>
    <row r="29" spans="1:5" s="1" customFormat="1" x14ac:dyDescent="0.25">
      <c r="A29" s="67" t="s">
        <v>395</v>
      </c>
      <c r="B29" s="62"/>
      <c r="C29" s="62"/>
      <c r="D29" s="62"/>
      <c r="E29" s="63"/>
    </row>
    <row r="30" spans="1:5" s="1" customFormat="1" x14ac:dyDescent="0.25">
      <c r="A30" s="59" t="s">
        <v>425</v>
      </c>
      <c r="B30" s="88"/>
      <c r="C30" s="88"/>
      <c r="D30" s="88"/>
      <c r="E30" s="89"/>
    </row>
    <row r="31" spans="1:5" s="1" customFormat="1" x14ac:dyDescent="0.25">
      <c r="A31" s="59" t="s">
        <v>426</v>
      </c>
      <c r="B31" s="88"/>
      <c r="C31" s="88"/>
      <c r="D31" s="88"/>
      <c r="E31" s="89"/>
    </row>
    <row r="32" spans="1:5" s="1" customFormat="1" ht="15.75" thickBot="1" x14ac:dyDescent="0.3">
      <c r="A32" s="60" t="s">
        <v>427</v>
      </c>
      <c r="B32" s="90"/>
      <c r="C32" s="90"/>
      <c r="D32" s="90"/>
      <c r="E32" s="91"/>
    </row>
  </sheetData>
  <sheetProtection algorithmName="SHA-512" hashValue="Ca3IOb23LU9FC9pR/L+DfYyW/UpJLD+X4PI/lQ422Gex4pt6KVwR9XPaiQnsb/8QePQ/aWeaUjS4Iho5VSmaCg==" saltValue="BbTGefAUbrTUX7nv21Mn0A==" spinCount="100000" sheet="1" selectLockedCells="1"/>
  <protectedRanges>
    <protectedRange sqref="B1" name="Range1"/>
  </protectedRanges>
  <mergeCells count="1">
    <mergeCell ref="A15:E26"/>
  </mergeCells>
  <pageMargins left="0.53" right="0.48" top="0.94" bottom="0.75" header="0.34" footer="0.3"/>
  <pageSetup scale="84" orientation="portrait" r:id="rId1"/>
  <headerFooter>
    <oddHeader>&amp;L&amp;G&amp;CGRANT ADJUSTMENT REQUEST
&amp;A&amp;RTEXAS JUVENILE
JUSTICE DEPARTMENT</oddHeader>
    <oddFooter>&amp;LTJJD-FIS-200   (9/19)&amp;RPage &amp;P of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promptTitle="GRANT" prompt="Select from list">
          <x14:formula1>
            <xm:f>LISTS!$A$2:$A$9</xm:f>
          </x14:formula1>
          <xm:sqref>B9</xm:sqref>
        </x14:dataValidation>
        <x14:dataValidation type="list" showErrorMessage="1" promptTitle="FUNDING CATEGORY">
          <x14:formula1>
            <xm:f>LISTS!$A$21:$A$24</xm:f>
          </x14:formula1>
          <xm:sqref>B11</xm:sqref>
        </x14:dataValidation>
        <x14:dataValidation type="list" showInputMessage="1" showErrorMessage="1" promptTitle="FISCAL YEAR" prompt="Select from list">
          <x14:formula1>
            <xm:f>LISTS!$D$2:$D$9</xm:f>
          </x14:formula1>
          <xm:sqref>B7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E50"/>
  <sheetViews>
    <sheetView zoomScaleNormal="100" workbookViewId="0">
      <selection activeCell="B1" sqref="B1"/>
    </sheetView>
  </sheetViews>
  <sheetFormatPr defaultRowHeight="15" x14ac:dyDescent="0.25"/>
  <cols>
    <col min="1" max="1" width="37" bestFit="1" customWidth="1"/>
    <col min="2" max="2" width="28.42578125" customWidth="1"/>
    <col min="3" max="3" width="10.85546875" customWidth="1"/>
    <col min="4" max="4" width="37" customWidth="1"/>
    <col min="5" max="5" width="15.7109375" style="1" customWidth="1"/>
    <col min="6" max="7" width="15.7109375" customWidth="1"/>
  </cols>
  <sheetData>
    <row r="1" spans="1:4" ht="21" x14ac:dyDescent="0.35">
      <c r="A1" s="2" t="s">
        <v>185</v>
      </c>
      <c r="B1" s="97" t="s">
        <v>369</v>
      </c>
      <c r="C1" s="102"/>
      <c r="D1" s="102"/>
    </row>
    <row r="2" spans="1:4" ht="21" x14ac:dyDescent="0.35">
      <c r="A2" s="2" t="s">
        <v>3</v>
      </c>
      <c r="B2" s="96" t="str">
        <f>VLOOKUP($B$1,'FY19 ALLOCATIONS'!$A$1:$T$169,2,FALSE)</f>
        <v>(ENTER YOUR COUNTY NUMBER ABOVE)</v>
      </c>
      <c r="C2" s="96"/>
      <c r="D2" s="96"/>
    </row>
    <row r="3" spans="1:4" x14ac:dyDescent="0.25">
      <c r="C3" s="105"/>
      <c r="D3" s="105"/>
    </row>
    <row r="4" spans="1:4" ht="21" x14ac:dyDescent="0.35">
      <c r="A4" s="2" t="s">
        <v>387</v>
      </c>
      <c r="B4" s="97"/>
      <c r="C4" s="102"/>
      <c r="D4" s="102"/>
    </row>
    <row r="5" spans="1:4" ht="21" x14ac:dyDescent="0.35">
      <c r="A5" s="2" t="s">
        <v>386</v>
      </c>
      <c r="B5" s="98"/>
      <c r="C5" s="103"/>
      <c r="D5" s="103"/>
    </row>
    <row r="6" spans="1:4" s="1" customFormat="1" x14ac:dyDescent="0.25">
      <c r="A6"/>
      <c r="B6"/>
      <c r="C6"/>
      <c r="D6"/>
    </row>
    <row r="7" spans="1:4" ht="21" x14ac:dyDescent="0.35">
      <c r="A7" s="2" t="s">
        <v>459</v>
      </c>
      <c r="B7" s="112"/>
      <c r="C7" s="109"/>
      <c r="D7" s="109"/>
    </row>
    <row r="8" spans="1:4" ht="15.75" thickBot="1" x14ac:dyDescent="0.3">
      <c r="C8" s="105"/>
      <c r="D8" s="105"/>
    </row>
    <row r="9" spans="1:4" s="1" customFormat="1" ht="15" customHeight="1" x14ac:dyDescent="0.25">
      <c r="A9" s="128" t="s">
        <v>462</v>
      </c>
      <c r="B9" s="129"/>
      <c r="C9" s="129"/>
      <c r="D9" s="130"/>
    </row>
    <row r="10" spans="1:4" s="1" customFormat="1" x14ac:dyDescent="0.25">
      <c r="A10" s="131"/>
      <c r="B10" s="132"/>
      <c r="C10" s="132"/>
      <c r="D10" s="133"/>
    </row>
    <row r="11" spans="1:4" s="1" customFormat="1" x14ac:dyDescent="0.25">
      <c r="A11" s="131"/>
      <c r="B11" s="132"/>
      <c r="C11" s="132"/>
      <c r="D11" s="133"/>
    </row>
    <row r="12" spans="1:4" s="1" customFormat="1" x14ac:dyDescent="0.25">
      <c r="A12" s="131"/>
      <c r="B12" s="132"/>
      <c r="C12" s="132"/>
      <c r="D12" s="133"/>
    </row>
    <row r="13" spans="1:4" s="1" customFormat="1" x14ac:dyDescent="0.25">
      <c r="A13" s="131"/>
      <c r="B13" s="132"/>
      <c r="C13" s="132"/>
      <c r="D13" s="133"/>
    </row>
    <row r="14" spans="1:4" s="1" customFormat="1" x14ac:dyDescent="0.25">
      <c r="A14" s="131"/>
      <c r="B14" s="132"/>
      <c r="C14" s="132"/>
      <c r="D14" s="133"/>
    </row>
    <row r="15" spans="1:4" s="1" customFormat="1" x14ac:dyDescent="0.25">
      <c r="A15" s="131"/>
      <c r="B15" s="132"/>
      <c r="C15" s="132"/>
      <c r="D15" s="133"/>
    </row>
    <row r="16" spans="1:4" s="1" customFormat="1" x14ac:dyDescent="0.25">
      <c r="A16" s="131"/>
      <c r="B16" s="132"/>
      <c r="C16" s="132"/>
      <c r="D16" s="133"/>
    </row>
    <row r="17" spans="1:5" s="1" customFormat="1" ht="15.75" thickBot="1" x14ac:dyDescent="0.3">
      <c r="A17" s="134"/>
      <c r="B17" s="135"/>
      <c r="C17" s="135"/>
      <c r="D17" s="136"/>
    </row>
    <row r="19" spans="1:5" ht="21" x14ac:dyDescent="0.35">
      <c r="A19" s="2" t="s">
        <v>460</v>
      </c>
      <c r="B19" s="99"/>
      <c r="C19" s="109"/>
      <c r="D19" s="109"/>
    </row>
    <row r="20" spans="1:5" x14ac:dyDescent="0.25">
      <c r="C20" s="105"/>
      <c r="D20" s="105"/>
    </row>
    <row r="21" spans="1:5" ht="21" x14ac:dyDescent="0.35">
      <c r="A21" s="2" t="s">
        <v>428</v>
      </c>
      <c r="B21" s="100" t="e">
        <f>VLOOKUP($B$1,MATCH!$A$1:$F$167,6,FALSE)</f>
        <v>#N/A</v>
      </c>
      <c r="C21" s="110"/>
      <c r="D21" s="110"/>
    </row>
    <row r="22" spans="1:5" x14ac:dyDescent="0.25">
      <c r="C22" s="105"/>
      <c r="D22" s="105"/>
    </row>
    <row r="23" spans="1:5" ht="21" x14ac:dyDescent="0.35">
      <c r="A23" s="2" t="s">
        <v>430</v>
      </c>
      <c r="B23" s="100" t="e">
        <f>B19-B21</f>
        <v>#N/A</v>
      </c>
      <c r="C23" s="110"/>
      <c r="D23" s="110"/>
    </row>
    <row r="24" spans="1:5" x14ac:dyDescent="0.25">
      <c r="C24" s="105"/>
      <c r="D24" s="105"/>
    </row>
    <row r="25" spans="1:5" ht="21" x14ac:dyDescent="0.35">
      <c r="A25" s="2" t="s">
        <v>429</v>
      </c>
      <c r="B25" s="100" t="e">
        <f>VLOOKUP($B$1,MATCH!$A$1:$F$167,5,FALSE)</f>
        <v>#N/A</v>
      </c>
      <c r="C25" s="110"/>
      <c r="D25" s="110"/>
    </row>
    <row r="26" spans="1:5" x14ac:dyDescent="0.25">
      <c r="C26" s="105"/>
      <c r="D26" s="105"/>
    </row>
    <row r="27" spans="1:5" ht="21" x14ac:dyDescent="0.35">
      <c r="A27" s="2" t="s">
        <v>431</v>
      </c>
      <c r="B27" s="100" t="e">
        <f>B19-B25</f>
        <v>#N/A</v>
      </c>
      <c r="C27" s="110"/>
      <c r="D27" s="110"/>
    </row>
    <row r="28" spans="1:5" x14ac:dyDescent="0.25">
      <c r="C28" s="1"/>
      <c r="D28" s="1"/>
      <c r="E28"/>
    </row>
    <row r="29" spans="1:5" ht="15.75" thickBot="1" x14ac:dyDescent="0.3">
      <c r="A29" s="61" t="s">
        <v>389</v>
      </c>
    </row>
    <row r="30" spans="1:5" x14ac:dyDescent="0.25">
      <c r="A30" s="119"/>
      <c r="B30" s="120"/>
      <c r="C30" s="120"/>
      <c r="D30" s="121"/>
    </row>
    <row r="31" spans="1:5" x14ac:dyDescent="0.25">
      <c r="A31" s="122"/>
      <c r="B31" s="123"/>
      <c r="C31" s="123"/>
      <c r="D31" s="124"/>
    </row>
    <row r="32" spans="1:5" x14ac:dyDescent="0.25">
      <c r="A32" s="122"/>
      <c r="B32" s="123"/>
      <c r="C32" s="123"/>
      <c r="D32" s="124"/>
    </row>
    <row r="33" spans="1:4" x14ac:dyDescent="0.25">
      <c r="A33" s="122"/>
      <c r="B33" s="123"/>
      <c r="C33" s="123"/>
      <c r="D33" s="124"/>
    </row>
    <row r="34" spans="1:4" s="1" customFormat="1" x14ac:dyDescent="0.25">
      <c r="A34" s="122"/>
      <c r="B34" s="123"/>
      <c r="C34" s="123"/>
      <c r="D34" s="124"/>
    </row>
    <row r="35" spans="1:4" s="1" customFormat="1" x14ac:dyDescent="0.25">
      <c r="A35" s="122"/>
      <c r="B35" s="123"/>
      <c r="C35" s="123"/>
      <c r="D35" s="124"/>
    </row>
    <row r="36" spans="1:4" s="1" customFormat="1" x14ac:dyDescent="0.25">
      <c r="A36" s="122"/>
      <c r="B36" s="123"/>
      <c r="C36" s="123"/>
      <c r="D36" s="124"/>
    </row>
    <row r="37" spans="1:4" s="1" customFormat="1" x14ac:dyDescent="0.25">
      <c r="A37" s="122"/>
      <c r="B37" s="123"/>
      <c r="C37" s="123"/>
      <c r="D37" s="124"/>
    </row>
    <row r="38" spans="1:4" s="1" customFormat="1" x14ac:dyDescent="0.25">
      <c r="A38" s="122"/>
      <c r="B38" s="123"/>
      <c r="C38" s="123"/>
      <c r="D38" s="124"/>
    </row>
    <row r="39" spans="1:4" s="1" customFormat="1" x14ac:dyDescent="0.25">
      <c r="A39" s="122"/>
      <c r="B39" s="123"/>
      <c r="C39" s="123"/>
      <c r="D39" s="124"/>
    </row>
    <row r="40" spans="1:4" s="1" customFormat="1" x14ac:dyDescent="0.25">
      <c r="A40" s="122"/>
      <c r="B40" s="123"/>
      <c r="C40" s="123"/>
      <c r="D40" s="124"/>
    </row>
    <row r="41" spans="1:4" s="1" customFormat="1" ht="15.75" thickBot="1" x14ac:dyDescent="0.3">
      <c r="A41" s="125"/>
      <c r="B41" s="126"/>
      <c r="C41" s="126"/>
      <c r="D41" s="127"/>
    </row>
    <row r="44" spans="1:4" s="1" customFormat="1" ht="15.75" thickBot="1" x14ac:dyDescent="0.3">
      <c r="A44"/>
      <c r="B44"/>
      <c r="C44"/>
      <c r="D44"/>
    </row>
    <row r="45" spans="1:4" s="1" customFormat="1" ht="15.75" x14ac:dyDescent="0.25">
      <c r="A45" s="69" t="s">
        <v>395</v>
      </c>
      <c r="B45" s="62"/>
      <c r="C45" s="62"/>
      <c r="D45" s="68"/>
    </row>
    <row r="46" spans="1:4" s="1" customFormat="1" ht="15.75" x14ac:dyDescent="0.25">
      <c r="A46" s="73" t="s">
        <v>425</v>
      </c>
      <c r="B46" s="70" t="s">
        <v>432</v>
      </c>
      <c r="C46" s="70" t="s">
        <v>433</v>
      </c>
      <c r="D46" s="71" t="s">
        <v>434</v>
      </c>
    </row>
    <row r="47" spans="1:4" s="1" customFormat="1" ht="15.75" x14ac:dyDescent="0.25">
      <c r="A47" s="83" t="s">
        <v>454</v>
      </c>
      <c r="B47" s="84"/>
      <c r="C47" s="84"/>
      <c r="D47" s="85"/>
    </row>
    <row r="48" spans="1:4" s="1" customFormat="1" ht="15.75" x14ac:dyDescent="0.25">
      <c r="A48" s="83" t="s">
        <v>455</v>
      </c>
      <c r="B48" s="84"/>
      <c r="C48" s="84"/>
      <c r="D48" s="85"/>
    </row>
    <row r="49" spans="1:4" s="1" customFormat="1" ht="15.75" x14ac:dyDescent="0.25">
      <c r="A49" s="73" t="s">
        <v>435</v>
      </c>
      <c r="B49" s="70" t="s">
        <v>436</v>
      </c>
      <c r="C49" s="70" t="s">
        <v>433</v>
      </c>
      <c r="D49" s="71" t="s">
        <v>434</v>
      </c>
    </row>
    <row r="50" spans="1:4" s="1" customFormat="1" ht="16.5" thickBot="1" x14ac:dyDescent="0.3">
      <c r="A50" s="72" t="s">
        <v>453</v>
      </c>
      <c r="B50" s="86"/>
      <c r="C50" s="86"/>
      <c r="D50" s="87"/>
    </row>
  </sheetData>
  <sheetProtection algorithmName="SHA-512" hashValue="ZcQhL3Y+8VI9c7CJOxd8EVzusS2PcandZhJm+lObV9oqYXOhJ7tf6iBsRk58dTvxwKW9hNANYHjBbjkMMKSSog==" saltValue="wJaK/4mX8VosEhTzH5H0xQ==" spinCount="100000" sheet="1" selectLockedCells="1"/>
  <protectedRanges>
    <protectedRange sqref="B1" name="Range1"/>
  </protectedRanges>
  <mergeCells count="2">
    <mergeCell ref="A9:D17"/>
    <mergeCell ref="A30:D41"/>
  </mergeCells>
  <conditionalFormatting sqref="B27:D27">
    <cfRule type="cellIs" dxfId="2" priority="2" operator="greaterThan">
      <formula>0</formula>
    </cfRule>
    <cfRule type="cellIs" dxfId="1" priority="3" operator="lessThan">
      <formula>0</formula>
    </cfRule>
  </conditionalFormatting>
  <conditionalFormatting sqref="B23:D23">
    <cfRule type="cellIs" dxfId="0" priority="1" operator="lessThan">
      <formula>0</formula>
    </cfRule>
  </conditionalFormatting>
  <pageMargins left="0.52" right="0.41" top="0.91" bottom="0.75" header="0.34" footer="0.3"/>
  <pageSetup scale="85" orientation="portrait" r:id="rId1"/>
  <headerFooter>
    <oddHeader>&amp;L&amp;G&amp;CGRANT ADJUSTMENT REQUEST
&amp;A&amp;RTEXAS JUVENILE
JUSTICE DEPARTMENT</oddHeader>
    <oddFooter>&amp;LTJJD-FIS-200   (9/19)&amp;RPage &amp;P of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FISCAL YEAR" prompt="select from list">
          <x14:formula1>
            <xm:f>LISTS!$D$2:$D$9</xm:f>
          </x14:formula1>
          <xm:sqref>B7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"/>
  <sheetViews>
    <sheetView topLeftCell="A62" workbookViewId="0">
      <selection activeCell="D147" sqref="D147"/>
    </sheetView>
  </sheetViews>
  <sheetFormatPr defaultRowHeight="15" x14ac:dyDescent="0.25"/>
  <cols>
    <col min="1" max="1" width="9.140625" style="81"/>
    <col min="2" max="4" width="14.7109375" style="81" customWidth="1"/>
    <col min="5" max="6" width="23.85546875" style="81" customWidth="1"/>
  </cols>
  <sheetData>
    <row r="1" spans="1:6" x14ac:dyDescent="0.25">
      <c r="A1" s="47" t="s">
        <v>12</v>
      </c>
      <c r="B1" s="48" t="s">
        <v>6</v>
      </c>
      <c r="C1" s="48" t="s">
        <v>437</v>
      </c>
      <c r="D1" s="48" t="s">
        <v>438</v>
      </c>
      <c r="E1" s="74" t="s">
        <v>439</v>
      </c>
      <c r="F1" s="74" t="s">
        <v>440</v>
      </c>
    </row>
    <row r="2" spans="1:6" x14ac:dyDescent="0.25">
      <c r="A2" s="75" t="s">
        <v>186</v>
      </c>
      <c r="B2" s="76" t="s">
        <v>4</v>
      </c>
      <c r="C2" s="76" t="s">
        <v>441</v>
      </c>
      <c r="D2" s="76" t="s">
        <v>442</v>
      </c>
      <c r="E2" s="77">
        <v>48085</v>
      </c>
      <c r="F2" s="77">
        <v>385383</v>
      </c>
    </row>
    <row r="3" spans="1:6" x14ac:dyDescent="0.25">
      <c r="A3" s="75" t="s">
        <v>187</v>
      </c>
      <c r="B3" s="76" t="s">
        <v>19</v>
      </c>
      <c r="C3" s="76" t="s">
        <v>443</v>
      </c>
      <c r="D3" s="76" t="s">
        <v>442</v>
      </c>
      <c r="E3" s="77">
        <v>105021</v>
      </c>
      <c r="F3" s="77">
        <v>263546.94</v>
      </c>
    </row>
    <row r="4" spans="1:6" x14ac:dyDescent="0.25">
      <c r="A4" s="75" t="s">
        <v>188</v>
      </c>
      <c r="B4" s="76" t="s">
        <v>20</v>
      </c>
      <c r="C4" s="76" t="s">
        <v>444</v>
      </c>
      <c r="D4" s="76" t="s">
        <v>445</v>
      </c>
      <c r="E4" s="77">
        <v>344026</v>
      </c>
      <c r="F4" s="77">
        <v>711624</v>
      </c>
    </row>
    <row r="5" spans="1:6" x14ac:dyDescent="0.25">
      <c r="A5" s="75" t="s">
        <v>206</v>
      </c>
      <c r="B5" s="76" t="s">
        <v>21</v>
      </c>
      <c r="C5" s="76" t="s">
        <v>446</v>
      </c>
      <c r="D5" s="76" t="s">
        <v>442</v>
      </c>
      <c r="E5" s="77">
        <v>25052</v>
      </c>
      <c r="F5" s="77">
        <v>1399016.07</v>
      </c>
    </row>
    <row r="6" spans="1:6" x14ac:dyDescent="0.25">
      <c r="A6" s="75" t="s">
        <v>207</v>
      </c>
      <c r="B6" s="76" t="s">
        <v>22</v>
      </c>
      <c r="C6" s="76" t="s">
        <v>444</v>
      </c>
      <c r="D6" s="76" t="s">
        <v>442</v>
      </c>
      <c r="E6" s="77">
        <v>22990</v>
      </c>
      <c r="F6" s="77">
        <v>93488.2</v>
      </c>
    </row>
    <row r="7" spans="1:6" x14ac:dyDescent="0.25">
      <c r="A7" s="75" t="s">
        <v>208</v>
      </c>
      <c r="B7" s="76" t="s">
        <v>23</v>
      </c>
      <c r="C7" s="76" t="s">
        <v>447</v>
      </c>
      <c r="D7" s="76" t="s">
        <v>442</v>
      </c>
      <c r="E7" s="77">
        <f>1530+2156</f>
        <v>3686</v>
      </c>
      <c r="F7" s="77">
        <v>35762.949999999997</v>
      </c>
    </row>
    <row r="8" spans="1:6" x14ac:dyDescent="0.25">
      <c r="A8" s="75" t="s">
        <v>209</v>
      </c>
      <c r="B8" s="76" t="s">
        <v>24</v>
      </c>
      <c r="C8" s="76" t="s">
        <v>446</v>
      </c>
      <c r="D8" s="76" t="s">
        <v>442</v>
      </c>
      <c r="E8" s="77">
        <v>20000</v>
      </c>
      <c r="F8" s="77">
        <v>98229.82</v>
      </c>
    </row>
    <row r="9" spans="1:6" x14ac:dyDescent="0.25">
      <c r="A9" s="75" t="s">
        <v>210</v>
      </c>
      <c r="B9" s="76" t="s">
        <v>25</v>
      </c>
      <c r="C9" s="76" t="s">
        <v>446</v>
      </c>
      <c r="D9" s="76" t="s">
        <v>445</v>
      </c>
      <c r="E9" s="77">
        <f>57707+25874+25874+35903</f>
        <v>145358</v>
      </c>
      <c r="F9" s="77">
        <v>424746</v>
      </c>
    </row>
    <row r="10" spans="1:6" x14ac:dyDescent="0.25">
      <c r="A10" s="75" t="s">
        <v>211</v>
      </c>
      <c r="B10" s="76" t="s">
        <v>26</v>
      </c>
      <c r="C10" s="76" t="s">
        <v>447</v>
      </c>
      <c r="D10" s="76" t="s">
        <v>442</v>
      </c>
      <c r="E10" s="77">
        <f>5882+3431+654+6372</f>
        <v>16339</v>
      </c>
      <c r="F10" s="77">
        <v>21553.86</v>
      </c>
    </row>
    <row r="11" spans="1:6" x14ac:dyDescent="0.25">
      <c r="A11" s="75" t="s">
        <v>212</v>
      </c>
      <c r="B11" s="76" t="s">
        <v>27</v>
      </c>
      <c r="C11" s="76" t="s">
        <v>446</v>
      </c>
      <c r="D11" s="76" t="s">
        <v>448</v>
      </c>
      <c r="E11" s="77">
        <v>1530616</v>
      </c>
      <c r="F11" s="77">
        <v>3346509</v>
      </c>
    </row>
    <row r="12" spans="1:6" x14ac:dyDescent="0.25">
      <c r="A12" s="75" t="s">
        <v>213</v>
      </c>
      <c r="B12" s="76" t="s">
        <v>28</v>
      </c>
      <c r="C12" s="76" t="s">
        <v>446</v>
      </c>
      <c r="D12" s="76" t="s">
        <v>449</v>
      </c>
      <c r="E12" s="77">
        <v>6526955</v>
      </c>
      <c r="F12" s="77">
        <v>23600991</v>
      </c>
    </row>
    <row r="13" spans="1:6" x14ac:dyDescent="0.25">
      <c r="A13" s="75" t="s">
        <v>214</v>
      </c>
      <c r="B13" s="76" t="s">
        <v>29</v>
      </c>
      <c r="C13" s="76" t="s">
        <v>441</v>
      </c>
      <c r="D13" s="76" t="s">
        <v>445</v>
      </c>
      <c r="E13" s="77">
        <v>367462</v>
      </c>
      <c r="F13" s="77">
        <v>290790</v>
      </c>
    </row>
    <row r="14" spans="1:6" x14ac:dyDescent="0.25">
      <c r="A14" s="75" t="s">
        <v>215</v>
      </c>
      <c r="B14" s="76" t="s">
        <v>30</v>
      </c>
      <c r="C14" s="76" t="s">
        <v>444</v>
      </c>
      <c r="D14" s="76" t="s">
        <v>448</v>
      </c>
      <c r="E14" s="77">
        <v>1155317</v>
      </c>
      <c r="F14" s="77">
        <v>3652923.48</v>
      </c>
    </row>
    <row r="15" spans="1:6" x14ac:dyDescent="0.25">
      <c r="A15" s="75" t="s">
        <v>216</v>
      </c>
      <c r="B15" s="76" t="s">
        <v>31</v>
      </c>
      <c r="C15" s="76" t="s">
        <v>444</v>
      </c>
      <c r="D15" s="76" t="s">
        <v>445</v>
      </c>
      <c r="E15" s="77">
        <v>1723323</v>
      </c>
      <c r="F15" s="77">
        <v>3813921.25</v>
      </c>
    </row>
    <row r="16" spans="1:6" x14ac:dyDescent="0.25">
      <c r="A16" s="75" t="s">
        <v>217</v>
      </c>
      <c r="B16" s="76" t="s">
        <v>32</v>
      </c>
      <c r="C16" s="76" t="s">
        <v>443</v>
      </c>
      <c r="D16" s="76" t="s">
        <v>442</v>
      </c>
      <c r="E16" s="77">
        <f>7366+3882+8390</f>
        <v>19638</v>
      </c>
      <c r="F16" s="77">
        <v>52345</v>
      </c>
    </row>
    <row r="17" spans="1:6" x14ac:dyDescent="0.25">
      <c r="A17" s="75" t="s">
        <v>218</v>
      </c>
      <c r="B17" s="76" t="s">
        <v>33</v>
      </c>
      <c r="C17" s="76" t="s">
        <v>450</v>
      </c>
      <c r="D17" s="76" t="s">
        <v>442</v>
      </c>
      <c r="E17" s="77">
        <v>59411</v>
      </c>
      <c r="F17" s="77">
        <v>121265.69</v>
      </c>
    </row>
    <row r="18" spans="1:6" x14ac:dyDescent="0.25">
      <c r="A18" s="75" t="s">
        <v>219</v>
      </c>
      <c r="B18" s="76" t="s">
        <v>34</v>
      </c>
      <c r="C18" s="76" t="s">
        <v>443</v>
      </c>
      <c r="D18" s="76" t="s">
        <v>442</v>
      </c>
      <c r="E18" s="77">
        <f>5306+0</f>
        <v>5306</v>
      </c>
      <c r="F18" s="77">
        <v>142500</v>
      </c>
    </row>
    <row r="19" spans="1:6" x14ac:dyDescent="0.25">
      <c r="A19" s="75" t="s">
        <v>220</v>
      </c>
      <c r="B19" s="76" t="s">
        <v>35</v>
      </c>
      <c r="C19" s="76" t="s">
        <v>446</v>
      </c>
      <c r="D19" s="76" t="s">
        <v>445</v>
      </c>
      <c r="E19" s="77">
        <f>22774+86464+27640+46473+19068</f>
        <v>202419</v>
      </c>
      <c r="F19" s="77">
        <v>433763.05</v>
      </c>
    </row>
    <row r="20" spans="1:6" x14ac:dyDescent="0.25">
      <c r="A20" s="75" t="s">
        <v>221</v>
      </c>
      <c r="B20" s="76" t="s">
        <v>36</v>
      </c>
      <c r="C20" s="76" t="s">
        <v>446</v>
      </c>
      <c r="D20" s="76" t="s">
        <v>442</v>
      </c>
      <c r="E20" s="77">
        <v>57290</v>
      </c>
      <c r="F20" s="77">
        <v>184290</v>
      </c>
    </row>
    <row r="21" spans="1:6" x14ac:dyDescent="0.25">
      <c r="A21" s="75" t="s">
        <v>222</v>
      </c>
      <c r="B21" s="76" t="s">
        <v>37</v>
      </c>
      <c r="C21" s="76" t="s">
        <v>450</v>
      </c>
      <c r="D21" s="76" t="s">
        <v>442</v>
      </c>
      <c r="E21" s="77">
        <v>113069</v>
      </c>
      <c r="F21" s="77">
        <v>245671</v>
      </c>
    </row>
    <row r="22" spans="1:6" x14ac:dyDescent="0.25">
      <c r="A22" s="75" t="s">
        <v>223</v>
      </c>
      <c r="B22" s="76" t="s">
        <v>38</v>
      </c>
      <c r="C22" s="76" t="s">
        <v>443</v>
      </c>
      <c r="D22" s="76" t="s">
        <v>442</v>
      </c>
      <c r="E22" s="77">
        <v>6000</v>
      </c>
      <c r="F22" s="77">
        <v>6000</v>
      </c>
    </row>
    <row r="23" spans="1:6" x14ac:dyDescent="0.25">
      <c r="A23" s="75" t="s">
        <v>224</v>
      </c>
      <c r="B23" s="76" t="s">
        <v>39</v>
      </c>
      <c r="C23" s="76" t="s">
        <v>450</v>
      </c>
      <c r="D23" s="76" t="s">
        <v>448</v>
      </c>
      <c r="E23" s="77">
        <v>1043190</v>
      </c>
      <c r="F23" s="77">
        <v>4726662.84</v>
      </c>
    </row>
    <row r="24" spans="1:6" x14ac:dyDescent="0.25">
      <c r="A24" s="75" t="s">
        <v>225</v>
      </c>
      <c r="B24" s="76" t="s">
        <v>40</v>
      </c>
      <c r="C24" s="76" t="s">
        <v>441</v>
      </c>
      <c r="D24" s="76" t="s">
        <v>442</v>
      </c>
      <c r="E24" s="77">
        <v>27488</v>
      </c>
      <c r="F24" s="77">
        <v>63251</v>
      </c>
    </row>
    <row r="25" spans="1:6" x14ac:dyDescent="0.25">
      <c r="A25" s="75" t="s">
        <v>226</v>
      </c>
      <c r="B25" s="76" t="s">
        <v>41</v>
      </c>
      <c r="C25" s="76" t="s">
        <v>444</v>
      </c>
      <c r="D25" s="76" t="s">
        <v>442</v>
      </c>
      <c r="E25" s="77">
        <v>20806</v>
      </c>
      <c r="F25" s="77">
        <v>42146.26</v>
      </c>
    </row>
    <row r="26" spans="1:6" x14ac:dyDescent="0.25">
      <c r="A26" s="75" t="s">
        <v>227</v>
      </c>
      <c r="B26" s="76" t="s">
        <v>42</v>
      </c>
      <c r="C26" s="76" t="s">
        <v>441</v>
      </c>
      <c r="D26" s="76" t="s">
        <v>442</v>
      </c>
      <c r="E26" s="77">
        <v>10369</v>
      </c>
      <c r="F26" s="77">
        <v>258648</v>
      </c>
    </row>
    <row r="27" spans="1:6" x14ac:dyDescent="0.25">
      <c r="A27" s="75" t="s">
        <v>228</v>
      </c>
      <c r="B27" s="76" t="s">
        <v>43</v>
      </c>
      <c r="C27" s="76" t="s">
        <v>447</v>
      </c>
      <c r="D27" s="76" t="s">
        <v>442</v>
      </c>
      <c r="E27" s="77">
        <f>2886+2886+2886+2886+2886</f>
        <v>14430</v>
      </c>
      <c r="F27" s="77">
        <v>27110</v>
      </c>
    </row>
    <row r="28" spans="1:6" x14ac:dyDescent="0.25">
      <c r="A28" s="75" t="s">
        <v>229</v>
      </c>
      <c r="B28" s="76" t="s">
        <v>44</v>
      </c>
      <c r="C28" s="76" t="s">
        <v>447</v>
      </c>
      <c r="D28" s="76" t="s">
        <v>442</v>
      </c>
      <c r="E28" s="77">
        <v>16947</v>
      </c>
      <c r="F28" s="77">
        <v>42557.18</v>
      </c>
    </row>
    <row r="29" spans="1:6" x14ac:dyDescent="0.25">
      <c r="A29" s="75" t="s">
        <v>230</v>
      </c>
      <c r="B29" s="76" t="s">
        <v>45</v>
      </c>
      <c r="C29" s="76" t="s">
        <v>443</v>
      </c>
      <c r="D29" s="76" t="s">
        <v>442</v>
      </c>
      <c r="E29" s="77">
        <f>2160+2340+1440+9217+2520+900</f>
        <v>18577</v>
      </c>
      <c r="F29" s="77">
        <v>20628.61</v>
      </c>
    </row>
    <row r="30" spans="1:6" x14ac:dyDescent="0.25">
      <c r="A30" s="75" t="s">
        <v>231</v>
      </c>
      <c r="B30" s="76" t="s">
        <v>46</v>
      </c>
      <c r="C30" s="76" t="s">
        <v>443</v>
      </c>
      <c r="D30" s="76" t="s">
        <v>442</v>
      </c>
      <c r="E30" s="77">
        <v>6000</v>
      </c>
      <c r="F30" s="77">
        <v>6000</v>
      </c>
    </row>
    <row r="31" spans="1:6" x14ac:dyDescent="0.25">
      <c r="A31" s="75" t="s">
        <v>232</v>
      </c>
      <c r="B31" s="76" t="s">
        <v>47</v>
      </c>
      <c r="C31" s="76" t="s">
        <v>451</v>
      </c>
      <c r="D31" s="76" t="s">
        <v>449</v>
      </c>
      <c r="E31" s="77">
        <v>688918</v>
      </c>
      <c r="F31" s="77">
        <v>5815185</v>
      </c>
    </row>
    <row r="32" spans="1:6" x14ac:dyDescent="0.25">
      <c r="A32" s="75" t="s">
        <v>233</v>
      </c>
      <c r="B32" s="76" t="s">
        <v>48</v>
      </c>
      <c r="C32" s="76" t="s">
        <v>446</v>
      </c>
      <c r="D32" s="76" t="s">
        <v>445</v>
      </c>
      <c r="E32" s="77">
        <v>156161</v>
      </c>
      <c r="F32" s="77">
        <v>452536</v>
      </c>
    </row>
    <row r="33" spans="1:6" x14ac:dyDescent="0.25">
      <c r="A33" s="75" t="s">
        <v>234</v>
      </c>
      <c r="B33" s="76" t="s">
        <v>49</v>
      </c>
      <c r="C33" s="76" t="s">
        <v>446</v>
      </c>
      <c r="D33" s="76" t="s">
        <v>442</v>
      </c>
      <c r="E33" s="77">
        <f>3330+2933+1665</f>
        <v>7928</v>
      </c>
      <c r="F33" s="77">
        <v>91453.43</v>
      </c>
    </row>
    <row r="34" spans="1:6" x14ac:dyDescent="0.25">
      <c r="A34" s="75" t="s">
        <v>235</v>
      </c>
      <c r="B34" s="76" t="s">
        <v>50</v>
      </c>
      <c r="C34" s="76" t="s">
        <v>451</v>
      </c>
      <c r="D34" s="76" t="s">
        <v>442</v>
      </c>
      <c r="E34" s="77">
        <v>51695</v>
      </c>
      <c r="F34" s="77">
        <v>159691</v>
      </c>
    </row>
    <row r="35" spans="1:6" x14ac:dyDescent="0.25">
      <c r="A35" s="75" t="s">
        <v>236</v>
      </c>
      <c r="B35" s="76" t="s">
        <v>51</v>
      </c>
      <c r="C35" s="76" t="s">
        <v>446</v>
      </c>
      <c r="D35" s="76" t="s">
        <v>445</v>
      </c>
      <c r="E35" s="77">
        <v>31685</v>
      </c>
      <c r="F35" s="77">
        <v>315253.48</v>
      </c>
    </row>
    <row r="36" spans="1:6" x14ac:dyDescent="0.25">
      <c r="A36" s="75" t="s">
        <v>237</v>
      </c>
      <c r="B36" s="76" t="s">
        <v>52</v>
      </c>
      <c r="C36" s="76" t="s">
        <v>443</v>
      </c>
      <c r="D36" s="76" t="s">
        <v>442</v>
      </c>
      <c r="E36" s="77">
        <v>47625</v>
      </c>
      <c r="F36" s="77">
        <v>63366</v>
      </c>
    </row>
    <row r="37" spans="1:6" x14ac:dyDescent="0.25">
      <c r="A37" s="75" t="s">
        <v>238</v>
      </c>
      <c r="B37" s="76" t="s">
        <v>53</v>
      </c>
      <c r="C37" s="76" t="s">
        <v>447</v>
      </c>
      <c r="D37" s="76" t="s">
        <v>442</v>
      </c>
      <c r="E37" s="77">
        <v>3473</v>
      </c>
      <c r="F37" s="77">
        <v>39221.64</v>
      </c>
    </row>
    <row r="38" spans="1:6" x14ac:dyDescent="0.25">
      <c r="A38" s="75" t="s">
        <v>239</v>
      </c>
      <c r="B38" s="76" t="s">
        <v>54</v>
      </c>
      <c r="C38" s="76" t="s">
        <v>443</v>
      </c>
      <c r="D38" s="76" t="s">
        <v>442</v>
      </c>
      <c r="E38" s="77">
        <f>9289+4628</f>
        <v>13917</v>
      </c>
      <c r="F38" s="77">
        <v>31231.08</v>
      </c>
    </row>
    <row r="39" spans="1:6" x14ac:dyDescent="0.25">
      <c r="A39" s="75" t="s">
        <v>240</v>
      </c>
      <c r="B39" s="76" t="s">
        <v>55</v>
      </c>
      <c r="C39" s="76" t="s">
        <v>447</v>
      </c>
      <c r="D39" s="76" t="s">
        <v>442</v>
      </c>
      <c r="E39" s="77">
        <f>23477+15311+12249</f>
        <v>51037</v>
      </c>
      <c r="F39" s="77">
        <v>51038</v>
      </c>
    </row>
    <row r="40" spans="1:6" x14ac:dyDescent="0.25">
      <c r="A40" s="75" t="s">
        <v>241</v>
      </c>
      <c r="B40" s="76" t="s">
        <v>56</v>
      </c>
      <c r="C40" s="76" t="s">
        <v>451</v>
      </c>
      <c r="D40" s="76" t="s">
        <v>449</v>
      </c>
      <c r="E40" s="77">
        <v>21253298</v>
      </c>
      <c r="F40" s="77">
        <v>42926690.810000002</v>
      </c>
    </row>
    <row r="41" spans="1:6" x14ac:dyDescent="0.25">
      <c r="A41" s="75" t="s">
        <v>242</v>
      </c>
      <c r="B41" s="76" t="s">
        <v>57</v>
      </c>
      <c r="C41" s="76" t="s">
        <v>443</v>
      </c>
      <c r="D41" s="76" t="s">
        <v>442</v>
      </c>
      <c r="E41" s="77">
        <v>76270</v>
      </c>
      <c r="F41" s="77">
        <v>126648.77</v>
      </c>
    </row>
    <row r="42" spans="1:6" x14ac:dyDescent="0.25">
      <c r="A42" s="75" t="s">
        <v>243</v>
      </c>
      <c r="B42" s="76" t="s">
        <v>58</v>
      </c>
      <c r="C42" s="76" t="s">
        <v>447</v>
      </c>
      <c r="D42" s="76" t="s">
        <v>442</v>
      </c>
      <c r="E42" s="77">
        <f>87641+7254</f>
        <v>94895</v>
      </c>
      <c r="F42" s="77">
        <v>461584</v>
      </c>
    </row>
    <row r="43" spans="1:6" x14ac:dyDescent="0.25">
      <c r="A43" s="75" t="s">
        <v>244</v>
      </c>
      <c r="B43" s="76" t="s">
        <v>59</v>
      </c>
      <c r="C43" s="76" t="s">
        <v>451</v>
      </c>
      <c r="D43" s="76" t="s">
        <v>448</v>
      </c>
      <c r="E43" s="77">
        <v>1191940</v>
      </c>
      <c r="F43" s="77">
        <v>5734896</v>
      </c>
    </row>
    <row r="44" spans="1:6" x14ac:dyDescent="0.25">
      <c r="A44" s="75" t="s">
        <v>245</v>
      </c>
      <c r="B44" s="76" t="s">
        <v>60</v>
      </c>
      <c r="C44" s="76" t="s">
        <v>446</v>
      </c>
      <c r="D44" s="76" t="s">
        <v>442</v>
      </c>
      <c r="E44" s="77">
        <v>54213</v>
      </c>
      <c r="F44" s="77">
        <v>127061.1</v>
      </c>
    </row>
    <row r="45" spans="1:6" x14ac:dyDescent="0.25">
      <c r="A45" s="75" t="s">
        <v>246</v>
      </c>
      <c r="B45" s="76" t="s">
        <v>61</v>
      </c>
      <c r="C45" s="76" t="s">
        <v>450</v>
      </c>
      <c r="D45" s="76" t="s">
        <v>442</v>
      </c>
      <c r="E45" s="77">
        <f>6712+2485</f>
        <v>9197</v>
      </c>
      <c r="F45" s="77">
        <v>61224</v>
      </c>
    </row>
    <row r="46" spans="1:6" x14ac:dyDescent="0.25">
      <c r="A46" s="75" t="s">
        <v>247</v>
      </c>
      <c r="B46" s="76" t="s">
        <v>62</v>
      </c>
      <c r="C46" s="76" t="s">
        <v>451</v>
      </c>
      <c r="D46" s="76" t="s">
        <v>442</v>
      </c>
      <c r="E46" s="77">
        <v>404</v>
      </c>
      <c r="F46" s="77">
        <v>15488.23</v>
      </c>
    </row>
    <row r="47" spans="1:6" x14ac:dyDescent="0.25">
      <c r="A47" s="75" t="s">
        <v>248</v>
      </c>
      <c r="B47" s="76" t="s">
        <v>63</v>
      </c>
      <c r="C47" s="76" t="s">
        <v>443</v>
      </c>
      <c r="D47" s="76" t="s">
        <v>445</v>
      </c>
      <c r="E47" s="77">
        <v>616276</v>
      </c>
      <c r="F47" s="77">
        <v>1776649.72</v>
      </c>
    </row>
    <row r="48" spans="1:6" x14ac:dyDescent="0.25">
      <c r="A48" s="75" t="s">
        <v>249</v>
      </c>
      <c r="B48" s="76" t="s">
        <v>65</v>
      </c>
      <c r="C48" s="76" t="s">
        <v>451</v>
      </c>
      <c r="D48" s="76" t="s">
        <v>445</v>
      </c>
      <c r="E48" s="77">
        <v>131931</v>
      </c>
      <c r="F48" s="77">
        <v>751612.77</v>
      </c>
    </row>
    <row r="49" spans="1:6" x14ac:dyDescent="0.25">
      <c r="A49" s="75" t="s">
        <v>250</v>
      </c>
      <c r="B49" s="76" t="s">
        <v>64</v>
      </c>
      <c r="C49" s="76" t="s">
        <v>443</v>
      </c>
      <c r="D49" s="76" t="s">
        <v>449</v>
      </c>
      <c r="E49" s="77">
        <v>3348951</v>
      </c>
      <c r="F49" s="77">
        <v>9736334</v>
      </c>
    </row>
    <row r="50" spans="1:6" x14ac:dyDescent="0.25">
      <c r="A50" s="75" t="s">
        <v>251</v>
      </c>
      <c r="B50" s="76" t="s">
        <v>66</v>
      </c>
      <c r="C50" s="76" t="s">
        <v>446</v>
      </c>
      <c r="D50" s="76" t="s">
        <v>442</v>
      </c>
      <c r="E50" s="77">
        <v>43680</v>
      </c>
      <c r="F50" s="77">
        <v>52468.98</v>
      </c>
    </row>
    <row r="51" spans="1:6" x14ac:dyDescent="0.25">
      <c r="A51" s="75" t="s">
        <v>252</v>
      </c>
      <c r="B51" s="76" t="s">
        <v>67</v>
      </c>
      <c r="C51" s="76" t="s">
        <v>451</v>
      </c>
      <c r="D51" s="76" t="s">
        <v>442</v>
      </c>
      <c r="E51" s="77">
        <v>21950</v>
      </c>
      <c r="F51" s="77">
        <v>108169.44</v>
      </c>
    </row>
    <row r="52" spans="1:6" x14ac:dyDescent="0.25">
      <c r="A52" s="75" t="s">
        <v>253</v>
      </c>
      <c r="B52" s="76" t="s">
        <v>68</v>
      </c>
      <c r="C52" s="76" t="s">
        <v>446</v>
      </c>
      <c r="D52" s="76" t="s">
        <v>442</v>
      </c>
      <c r="E52" s="77">
        <v>18926</v>
      </c>
      <c r="F52" s="77">
        <v>52822</v>
      </c>
    </row>
    <row r="53" spans="1:6" x14ac:dyDescent="0.25">
      <c r="A53" s="75" t="s">
        <v>254</v>
      </c>
      <c r="B53" s="76" t="s">
        <v>69</v>
      </c>
      <c r="C53" s="76" t="s">
        <v>447</v>
      </c>
      <c r="D53" s="76" t="s">
        <v>442</v>
      </c>
      <c r="E53" s="77">
        <f>500+1665+8755+973</f>
        <v>11893</v>
      </c>
      <c r="F53" s="77">
        <v>70830.13</v>
      </c>
    </row>
    <row r="54" spans="1:6" x14ac:dyDescent="0.25">
      <c r="A54" s="75" t="s">
        <v>255</v>
      </c>
      <c r="B54" s="76" t="s">
        <v>70</v>
      </c>
      <c r="C54" s="76" t="s">
        <v>444</v>
      </c>
      <c r="D54" s="76" t="s">
        <v>448</v>
      </c>
      <c r="E54" s="77">
        <v>1774177</v>
      </c>
      <c r="F54" s="77">
        <v>7043694</v>
      </c>
    </row>
    <row r="55" spans="1:6" x14ac:dyDescent="0.25">
      <c r="A55" s="75" t="s">
        <v>256</v>
      </c>
      <c r="B55" s="76" t="s">
        <v>71</v>
      </c>
      <c r="C55" s="76" t="s">
        <v>446</v>
      </c>
      <c r="D55" s="76" t="s">
        <v>442</v>
      </c>
      <c r="E55" s="77">
        <v>78636</v>
      </c>
      <c r="F55" s="77">
        <v>195388.67</v>
      </c>
    </row>
    <row r="56" spans="1:6" x14ac:dyDescent="0.25">
      <c r="A56" s="75" t="s">
        <v>257</v>
      </c>
      <c r="B56" s="76" t="s">
        <v>72</v>
      </c>
      <c r="C56" s="76" t="s">
        <v>443</v>
      </c>
      <c r="D56" s="76" t="s">
        <v>442</v>
      </c>
      <c r="E56" s="77">
        <v>23401</v>
      </c>
      <c r="F56" s="77">
        <v>122739.18</v>
      </c>
    </row>
    <row r="57" spans="1:6" x14ac:dyDescent="0.25">
      <c r="A57" s="75" t="s">
        <v>258</v>
      </c>
      <c r="B57" s="76" t="s">
        <v>73</v>
      </c>
      <c r="C57" s="76" t="s">
        <v>444</v>
      </c>
      <c r="D57" s="76" t="s">
        <v>448</v>
      </c>
      <c r="E57" s="77">
        <v>1321757</v>
      </c>
      <c r="F57" s="77">
        <v>3913667.63</v>
      </c>
    </row>
    <row r="58" spans="1:6" x14ac:dyDescent="0.25">
      <c r="A58" s="78" t="s">
        <v>259</v>
      </c>
      <c r="B58" s="76" t="s">
        <v>74</v>
      </c>
      <c r="C58" s="76" t="s">
        <v>447</v>
      </c>
      <c r="D58" s="76" t="s">
        <v>442</v>
      </c>
      <c r="E58" s="77">
        <v>3950</v>
      </c>
      <c r="F58" s="77">
        <v>47323.42</v>
      </c>
    </row>
    <row r="59" spans="1:6" x14ac:dyDescent="0.25">
      <c r="A59" s="75" t="s">
        <v>260</v>
      </c>
      <c r="B59" s="76" t="s">
        <v>75</v>
      </c>
      <c r="C59" s="76" t="s">
        <v>450</v>
      </c>
      <c r="D59" s="76" t="s">
        <v>442</v>
      </c>
      <c r="E59" s="77">
        <v>1050</v>
      </c>
      <c r="F59" s="77">
        <v>130892.28</v>
      </c>
    </row>
    <row r="60" spans="1:6" x14ac:dyDescent="0.25">
      <c r="A60" s="75" t="s">
        <v>261</v>
      </c>
      <c r="B60" s="76" t="s">
        <v>76</v>
      </c>
      <c r="C60" s="76" t="s">
        <v>447</v>
      </c>
      <c r="D60" s="76" t="s">
        <v>442</v>
      </c>
      <c r="E60" s="77">
        <v>74266</v>
      </c>
      <c r="F60" s="77">
        <v>189366</v>
      </c>
    </row>
    <row r="61" spans="1:6" x14ac:dyDescent="0.25">
      <c r="A61" s="75" t="s">
        <v>262</v>
      </c>
      <c r="B61" s="76" t="s">
        <v>77</v>
      </c>
      <c r="C61" s="76" t="s">
        <v>451</v>
      </c>
      <c r="D61" s="76" t="s">
        <v>445</v>
      </c>
      <c r="E61" s="77">
        <v>272463</v>
      </c>
      <c r="F61" s="77">
        <v>816186</v>
      </c>
    </row>
    <row r="62" spans="1:6" x14ac:dyDescent="0.25">
      <c r="A62" s="75" t="s">
        <v>263</v>
      </c>
      <c r="B62" s="76" t="s">
        <v>78</v>
      </c>
      <c r="C62" s="76" t="s">
        <v>441</v>
      </c>
      <c r="D62" s="76" t="s">
        <v>445</v>
      </c>
      <c r="E62" s="77">
        <v>906661</v>
      </c>
      <c r="F62" s="77">
        <v>1826302.63</v>
      </c>
    </row>
    <row r="63" spans="1:6" x14ac:dyDescent="0.25">
      <c r="A63" s="75" t="s">
        <v>264</v>
      </c>
      <c r="B63" s="76" t="s">
        <v>79</v>
      </c>
      <c r="C63" s="76" t="s">
        <v>444</v>
      </c>
      <c r="D63" s="76" t="s">
        <v>442</v>
      </c>
      <c r="E63" s="77">
        <v>7791</v>
      </c>
      <c r="F63" s="77">
        <v>77242.58</v>
      </c>
    </row>
    <row r="64" spans="1:6" x14ac:dyDescent="0.25">
      <c r="A64" s="75" t="s">
        <v>265</v>
      </c>
      <c r="B64" s="76" t="s">
        <v>80</v>
      </c>
      <c r="C64" s="76" t="s">
        <v>446</v>
      </c>
      <c r="D64" s="76" t="s">
        <v>445</v>
      </c>
      <c r="E64" s="77">
        <v>401419</v>
      </c>
      <c r="F64" s="77">
        <v>2089923</v>
      </c>
    </row>
    <row r="65" spans="1:6" x14ac:dyDescent="0.25">
      <c r="A65" s="75" t="s">
        <v>266</v>
      </c>
      <c r="B65" s="76" t="s">
        <v>81</v>
      </c>
      <c r="C65" s="76" t="s">
        <v>447</v>
      </c>
      <c r="D65" s="76" t="s">
        <v>442</v>
      </c>
      <c r="E65" s="77">
        <v>183750</v>
      </c>
      <c r="F65" s="77">
        <v>394860.34</v>
      </c>
    </row>
    <row r="66" spans="1:6" x14ac:dyDescent="0.25">
      <c r="A66" s="75" t="s">
        <v>267</v>
      </c>
      <c r="B66" s="76" t="s">
        <v>82</v>
      </c>
      <c r="C66" s="76" t="s">
        <v>444</v>
      </c>
      <c r="D66" s="76" t="s">
        <v>442</v>
      </c>
      <c r="E66" s="77">
        <v>46427</v>
      </c>
      <c r="F66" s="77">
        <v>369141</v>
      </c>
    </row>
    <row r="67" spans="1:6" x14ac:dyDescent="0.25">
      <c r="A67" s="75" t="s">
        <v>268</v>
      </c>
      <c r="B67" s="76" t="s">
        <v>83</v>
      </c>
      <c r="C67" s="76" t="s">
        <v>444</v>
      </c>
      <c r="D67" s="76" t="s">
        <v>449</v>
      </c>
      <c r="E67" s="77">
        <v>21345072</v>
      </c>
      <c r="F67" s="77">
        <v>54847606.270000003</v>
      </c>
    </row>
    <row r="68" spans="1:6" x14ac:dyDescent="0.25">
      <c r="A68" s="75" t="s">
        <v>269</v>
      </c>
      <c r="B68" s="76" t="s">
        <v>84</v>
      </c>
      <c r="C68" s="76" t="s">
        <v>441</v>
      </c>
      <c r="D68" s="76" t="s">
        <v>442</v>
      </c>
      <c r="E68" s="77">
        <v>284240</v>
      </c>
      <c r="F68" s="77">
        <v>597153</v>
      </c>
    </row>
    <row r="69" spans="1:6" x14ac:dyDescent="0.25">
      <c r="A69" s="75" t="s">
        <v>270</v>
      </c>
      <c r="B69" s="76" t="s">
        <v>85</v>
      </c>
      <c r="C69" s="76" t="s">
        <v>447</v>
      </c>
      <c r="D69" s="76" t="s">
        <v>442</v>
      </c>
      <c r="E69" s="77">
        <f>1110+180+600+670</f>
        <v>2560</v>
      </c>
      <c r="F69" s="77">
        <v>2560</v>
      </c>
    </row>
    <row r="70" spans="1:6" x14ac:dyDescent="0.25">
      <c r="A70" s="75" t="s">
        <v>271</v>
      </c>
      <c r="B70" s="76" t="s">
        <v>86</v>
      </c>
      <c r="C70" s="76" t="s">
        <v>446</v>
      </c>
      <c r="D70" s="76" t="s">
        <v>445</v>
      </c>
      <c r="E70" s="77">
        <v>111785</v>
      </c>
      <c r="F70" s="77">
        <v>735020</v>
      </c>
    </row>
    <row r="71" spans="1:6" x14ac:dyDescent="0.25">
      <c r="A71" s="75" t="s">
        <v>272</v>
      </c>
      <c r="B71" s="76" t="s">
        <v>87</v>
      </c>
      <c r="C71" s="76" t="s">
        <v>441</v>
      </c>
      <c r="D71" s="76" t="s">
        <v>445</v>
      </c>
      <c r="E71" s="77">
        <v>125153</v>
      </c>
      <c r="F71" s="77">
        <v>222558.97</v>
      </c>
    </row>
    <row r="72" spans="1:6" x14ac:dyDescent="0.25">
      <c r="A72" s="75" t="s">
        <v>273</v>
      </c>
      <c r="B72" s="76" t="s">
        <v>88</v>
      </c>
      <c r="C72" s="76" t="s">
        <v>450</v>
      </c>
      <c r="D72" s="76" t="s">
        <v>449</v>
      </c>
      <c r="E72" s="77">
        <v>1433094</v>
      </c>
      <c r="F72" s="77">
        <v>5838098.8099999996</v>
      </c>
    </row>
    <row r="73" spans="1:6" x14ac:dyDescent="0.25">
      <c r="A73" s="75" t="s">
        <v>274</v>
      </c>
      <c r="B73" s="76" t="s">
        <v>89</v>
      </c>
      <c r="C73" s="76" t="s">
        <v>451</v>
      </c>
      <c r="D73" s="76" t="s">
        <v>442</v>
      </c>
      <c r="E73" s="77">
        <v>18360</v>
      </c>
      <c r="F73" s="77">
        <v>50460.58</v>
      </c>
    </row>
    <row r="74" spans="1:6" x14ac:dyDescent="0.25">
      <c r="A74" s="75" t="s">
        <v>275</v>
      </c>
      <c r="B74" s="76" t="s">
        <v>90</v>
      </c>
      <c r="C74" s="76" t="s">
        <v>447</v>
      </c>
      <c r="D74" s="76" t="s">
        <v>442</v>
      </c>
      <c r="E74" s="77">
        <v>85993</v>
      </c>
      <c r="F74" s="77">
        <v>136260.06</v>
      </c>
    </row>
    <row r="75" spans="1:6" x14ac:dyDescent="0.25">
      <c r="A75" s="75" t="s">
        <v>276</v>
      </c>
      <c r="B75" s="76" t="s">
        <v>91</v>
      </c>
      <c r="C75" s="76" t="s">
        <v>451</v>
      </c>
      <c r="D75" s="76" t="s">
        <v>442</v>
      </c>
      <c r="E75" s="77">
        <v>53693</v>
      </c>
      <c r="F75" s="77">
        <v>225074.36</v>
      </c>
    </row>
    <row r="76" spans="1:6" x14ac:dyDescent="0.25">
      <c r="A76" s="78" t="s">
        <v>277</v>
      </c>
      <c r="B76" s="76" t="s">
        <v>92</v>
      </c>
      <c r="C76" s="76" t="s">
        <v>441</v>
      </c>
      <c r="D76" s="76" t="s">
        <v>442</v>
      </c>
      <c r="E76" s="77">
        <f>2960+4736+18241+4144</f>
        <v>30081</v>
      </c>
      <c r="F76" s="77">
        <v>59704</v>
      </c>
    </row>
    <row r="77" spans="1:6" x14ac:dyDescent="0.25">
      <c r="A77" s="75" t="s">
        <v>278</v>
      </c>
      <c r="B77" s="76" t="s">
        <v>93</v>
      </c>
      <c r="C77" s="76" t="s">
        <v>444</v>
      </c>
      <c r="D77" s="76" t="s">
        <v>442</v>
      </c>
      <c r="E77" s="77">
        <v>15160</v>
      </c>
      <c r="F77" s="77">
        <v>49861</v>
      </c>
    </row>
    <row r="78" spans="1:6" x14ac:dyDescent="0.25">
      <c r="A78" s="75" t="s">
        <v>279</v>
      </c>
      <c r="B78" s="76" t="s">
        <v>94</v>
      </c>
      <c r="C78" s="76" t="s">
        <v>443</v>
      </c>
      <c r="D78" s="76" t="s">
        <v>442</v>
      </c>
      <c r="E78" s="77">
        <f>3052+119722+9925</f>
        <v>132699</v>
      </c>
      <c r="F78" s="77">
        <v>162391</v>
      </c>
    </row>
    <row r="79" spans="1:6" x14ac:dyDescent="0.25">
      <c r="A79" s="75" t="s">
        <v>280</v>
      </c>
      <c r="B79" s="76" t="s">
        <v>95</v>
      </c>
      <c r="C79" s="76" t="s">
        <v>441</v>
      </c>
      <c r="D79" s="76" t="s">
        <v>445</v>
      </c>
      <c r="E79" s="77">
        <v>110820</v>
      </c>
      <c r="F79" s="77">
        <v>450000</v>
      </c>
    </row>
    <row r="80" spans="1:6" x14ac:dyDescent="0.25">
      <c r="A80" s="75" t="s">
        <v>281</v>
      </c>
      <c r="B80" s="76" t="s">
        <v>96</v>
      </c>
      <c r="C80" s="76" t="s">
        <v>447</v>
      </c>
      <c r="D80" s="76" t="s">
        <v>442</v>
      </c>
      <c r="E80" s="77">
        <v>125343</v>
      </c>
      <c r="F80" s="77">
        <v>292973.01</v>
      </c>
    </row>
    <row r="81" spans="1:6" x14ac:dyDescent="0.25">
      <c r="A81" s="75" t="s">
        <v>282</v>
      </c>
      <c r="B81" s="76" t="s">
        <v>97</v>
      </c>
      <c r="C81" s="76" t="s">
        <v>446</v>
      </c>
      <c r="D81" s="76" t="s">
        <v>442</v>
      </c>
      <c r="E81" s="77">
        <v>3542</v>
      </c>
      <c r="F81" s="77">
        <v>28062.9</v>
      </c>
    </row>
    <row r="82" spans="1:6" x14ac:dyDescent="0.25">
      <c r="A82" s="75" t="s">
        <v>283</v>
      </c>
      <c r="B82" s="76" t="s">
        <v>98</v>
      </c>
      <c r="C82" s="76" t="s">
        <v>444</v>
      </c>
      <c r="D82" s="76" t="s">
        <v>442</v>
      </c>
      <c r="E82" s="77">
        <f>14432+6929+3752+3752</f>
        <v>28865</v>
      </c>
      <c r="F82" s="77">
        <v>87187.4</v>
      </c>
    </row>
    <row r="83" spans="1:6" x14ac:dyDescent="0.25">
      <c r="A83" s="75" t="s">
        <v>284</v>
      </c>
      <c r="B83" s="76" t="s">
        <v>99</v>
      </c>
      <c r="C83" s="76" t="s">
        <v>444</v>
      </c>
      <c r="D83" s="76" t="s">
        <v>448</v>
      </c>
      <c r="E83" s="77">
        <v>1465245</v>
      </c>
      <c r="F83" s="77">
        <v>3010649</v>
      </c>
    </row>
    <row r="84" spans="1:6" x14ac:dyDescent="0.25">
      <c r="A84" s="75" t="s">
        <v>285</v>
      </c>
      <c r="B84" s="76" t="s">
        <v>100</v>
      </c>
      <c r="C84" s="76" t="s">
        <v>450</v>
      </c>
      <c r="D84" s="76" t="s">
        <v>442</v>
      </c>
      <c r="E84" s="77">
        <v>51852</v>
      </c>
      <c r="F84" s="77">
        <v>343556.69</v>
      </c>
    </row>
    <row r="85" spans="1:6" x14ac:dyDescent="0.25">
      <c r="A85" s="75" t="s">
        <v>286</v>
      </c>
      <c r="B85" s="76" t="s">
        <v>101</v>
      </c>
      <c r="C85" s="76" t="s">
        <v>451</v>
      </c>
      <c r="D85" s="76" t="s">
        <v>445</v>
      </c>
      <c r="E85" s="77">
        <v>530560</v>
      </c>
      <c r="F85" s="77">
        <v>767069.04</v>
      </c>
    </row>
    <row r="86" spans="1:6" x14ac:dyDescent="0.25">
      <c r="A86" s="75" t="s">
        <v>287</v>
      </c>
      <c r="B86" s="76" t="s">
        <v>102</v>
      </c>
      <c r="C86" s="76" t="s">
        <v>443</v>
      </c>
      <c r="D86" s="76" t="s">
        <v>442</v>
      </c>
      <c r="E86" s="77">
        <f>18325+3753</f>
        <v>22078</v>
      </c>
      <c r="F86" s="77">
        <v>24312.07</v>
      </c>
    </row>
    <row r="87" spans="1:6" x14ac:dyDescent="0.25">
      <c r="A87" s="75" t="s">
        <v>288</v>
      </c>
      <c r="B87" s="76" t="s">
        <v>103</v>
      </c>
      <c r="C87" s="76" t="s">
        <v>446</v>
      </c>
      <c r="D87" s="76" t="s">
        <v>442</v>
      </c>
      <c r="E87" s="77">
        <f>15960+18178</f>
        <v>34138</v>
      </c>
      <c r="F87" s="77">
        <v>312936.56</v>
      </c>
    </row>
    <row r="88" spans="1:6" x14ac:dyDescent="0.25">
      <c r="A88" s="75" t="s">
        <v>289</v>
      </c>
      <c r="B88" s="76" t="s">
        <v>104</v>
      </c>
      <c r="C88" s="76" t="s">
        <v>451</v>
      </c>
      <c r="D88" s="76" t="s">
        <v>445</v>
      </c>
      <c r="E88" s="77">
        <v>61713</v>
      </c>
      <c r="F88" s="77">
        <v>166994.67000000001</v>
      </c>
    </row>
    <row r="89" spans="1:6" x14ac:dyDescent="0.25">
      <c r="A89" s="75" t="s">
        <v>290</v>
      </c>
      <c r="B89" s="76" t="s">
        <v>105</v>
      </c>
      <c r="C89" s="76" t="s">
        <v>446</v>
      </c>
      <c r="D89" s="76" t="s">
        <v>442</v>
      </c>
      <c r="E89" s="77">
        <v>13175</v>
      </c>
      <c r="F89" s="77">
        <v>81521.89</v>
      </c>
    </row>
    <row r="90" spans="1:6" x14ac:dyDescent="0.25">
      <c r="A90" s="75" t="s">
        <v>291</v>
      </c>
      <c r="B90" s="76" t="s">
        <v>106</v>
      </c>
      <c r="C90" s="76" t="s">
        <v>446</v>
      </c>
      <c r="D90" s="76" t="s">
        <v>442</v>
      </c>
      <c r="E90" s="77">
        <v>173907</v>
      </c>
      <c r="F90" s="77">
        <v>540035</v>
      </c>
    </row>
    <row r="91" spans="1:6" x14ac:dyDescent="0.25">
      <c r="A91" s="75" t="s">
        <v>292</v>
      </c>
      <c r="B91" s="76" t="s">
        <v>107</v>
      </c>
      <c r="C91" s="76" t="s">
        <v>450</v>
      </c>
      <c r="D91" s="76" t="s">
        <v>442</v>
      </c>
      <c r="E91" s="77">
        <f>0+81600</f>
        <v>81600</v>
      </c>
      <c r="F91" s="77">
        <v>164856.24</v>
      </c>
    </row>
    <row r="92" spans="1:6" x14ac:dyDescent="0.25">
      <c r="A92" s="75" t="s">
        <v>293</v>
      </c>
      <c r="B92" s="76" t="s">
        <v>108</v>
      </c>
      <c r="C92" s="76" t="s">
        <v>441</v>
      </c>
      <c r="D92" s="76" t="s">
        <v>442</v>
      </c>
      <c r="E92" s="77">
        <v>35117</v>
      </c>
      <c r="F92" s="77">
        <v>98682</v>
      </c>
    </row>
    <row r="93" spans="1:6" x14ac:dyDescent="0.25">
      <c r="A93" s="75" t="s">
        <v>294</v>
      </c>
      <c r="B93" s="76" t="s">
        <v>109</v>
      </c>
      <c r="C93" s="76" t="s">
        <v>447</v>
      </c>
      <c r="D93" s="76" t="s">
        <v>442</v>
      </c>
      <c r="E93" s="77">
        <v>60222</v>
      </c>
      <c r="F93" s="77">
        <v>235184</v>
      </c>
    </row>
    <row r="94" spans="1:6" x14ac:dyDescent="0.25">
      <c r="A94" s="75" t="s">
        <v>295</v>
      </c>
      <c r="B94" s="76" t="s">
        <v>110</v>
      </c>
      <c r="C94" s="76" t="s">
        <v>446</v>
      </c>
      <c r="D94" s="76" t="s">
        <v>442</v>
      </c>
      <c r="E94" s="77">
        <v>49456</v>
      </c>
      <c r="F94" s="77">
        <v>275331</v>
      </c>
    </row>
    <row r="95" spans="1:6" x14ac:dyDescent="0.25">
      <c r="A95" s="75" t="s">
        <v>296</v>
      </c>
      <c r="B95" s="76" t="s">
        <v>111</v>
      </c>
      <c r="C95" s="76" t="s">
        <v>446</v>
      </c>
      <c r="D95" s="76" t="s">
        <v>442</v>
      </c>
      <c r="E95" s="77">
        <v>6109</v>
      </c>
      <c r="F95" s="77">
        <v>98066</v>
      </c>
    </row>
    <row r="96" spans="1:6" x14ac:dyDescent="0.25">
      <c r="A96" s="78" t="s">
        <v>297</v>
      </c>
      <c r="B96" s="76" t="s">
        <v>112</v>
      </c>
      <c r="C96" s="76" t="s">
        <v>446</v>
      </c>
      <c r="D96" s="76" t="s">
        <v>442</v>
      </c>
      <c r="E96" s="77">
        <f>4410+5206+4451</f>
        <v>14067</v>
      </c>
      <c r="F96" s="77">
        <v>223032</v>
      </c>
    </row>
    <row r="97" spans="1:6" x14ac:dyDescent="0.25">
      <c r="A97" s="75" t="s">
        <v>298</v>
      </c>
      <c r="B97" s="76" t="s">
        <v>113</v>
      </c>
      <c r="C97" s="76" t="s">
        <v>444</v>
      </c>
      <c r="D97" s="76" t="s">
        <v>442</v>
      </c>
      <c r="E97" s="77">
        <v>2661</v>
      </c>
      <c r="F97" s="77">
        <v>8784.6200000000008</v>
      </c>
    </row>
    <row r="98" spans="1:6" x14ac:dyDescent="0.25">
      <c r="A98" s="75" t="s">
        <v>299</v>
      </c>
      <c r="B98" s="76" t="s">
        <v>114</v>
      </c>
      <c r="C98" s="76" t="s">
        <v>444</v>
      </c>
      <c r="D98" s="76" t="s">
        <v>445</v>
      </c>
      <c r="E98" s="77">
        <v>32837</v>
      </c>
      <c r="F98" s="77">
        <v>91613.53</v>
      </c>
    </row>
    <row r="99" spans="1:6" x14ac:dyDescent="0.25">
      <c r="A99" s="75" t="s">
        <v>300</v>
      </c>
      <c r="B99" s="76" t="s">
        <v>115</v>
      </c>
      <c r="C99" s="76" t="s">
        <v>441</v>
      </c>
      <c r="D99" s="76" t="s">
        <v>442</v>
      </c>
      <c r="E99" s="77">
        <f>42578+56440</f>
        <v>99018</v>
      </c>
      <c r="F99" s="77">
        <v>541594.31999999995</v>
      </c>
    </row>
    <row r="100" spans="1:6" x14ac:dyDescent="0.25">
      <c r="A100" s="75" t="s">
        <v>301</v>
      </c>
      <c r="B100" s="76" t="s">
        <v>116</v>
      </c>
      <c r="C100" s="76" t="s">
        <v>447</v>
      </c>
      <c r="D100" s="76" t="s">
        <v>448</v>
      </c>
      <c r="E100" s="77">
        <v>2110967</v>
      </c>
      <c r="F100" s="77">
        <v>3946362.85</v>
      </c>
    </row>
    <row r="101" spans="1:6" x14ac:dyDescent="0.25">
      <c r="A101" s="78" t="s">
        <v>302</v>
      </c>
      <c r="B101" s="76" t="s">
        <v>117</v>
      </c>
      <c r="C101" s="76" t="s">
        <v>447</v>
      </c>
      <c r="D101" s="76" t="s">
        <v>442</v>
      </c>
      <c r="E101" s="77">
        <v>3585</v>
      </c>
      <c r="F101" s="77">
        <v>54214</v>
      </c>
    </row>
    <row r="102" spans="1:6" x14ac:dyDescent="0.25">
      <c r="A102" s="75" t="s">
        <v>303</v>
      </c>
      <c r="B102" s="76" t="s">
        <v>118</v>
      </c>
      <c r="C102" s="76" t="s">
        <v>443</v>
      </c>
      <c r="D102" s="76" t="s">
        <v>442</v>
      </c>
      <c r="E102" s="77">
        <f>5390+6950+11675+3703+6725</f>
        <v>34443</v>
      </c>
      <c r="F102" s="77">
        <v>81252</v>
      </c>
    </row>
    <row r="103" spans="1:6" x14ac:dyDescent="0.25">
      <c r="A103" s="75" t="s">
        <v>304</v>
      </c>
      <c r="B103" s="76" t="s">
        <v>119</v>
      </c>
      <c r="C103" s="76" t="s">
        <v>446</v>
      </c>
      <c r="D103" s="76" t="s">
        <v>448</v>
      </c>
      <c r="E103" s="77">
        <v>1286371</v>
      </c>
      <c r="F103" s="77">
        <v>3782866.89</v>
      </c>
    </row>
    <row r="104" spans="1:6" x14ac:dyDescent="0.25">
      <c r="A104" s="75" t="s">
        <v>305</v>
      </c>
      <c r="B104" s="76" t="s">
        <v>120</v>
      </c>
      <c r="C104" s="76" t="s">
        <v>444</v>
      </c>
      <c r="D104" s="76" t="s">
        <v>442</v>
      </c>
      <c r="E104" s="77">
        <v>11841</v>
      </c>
      <c r="F104" s="77">
        <v>24937.47</v>
      </c>
    </row>
    <row r="105" spans="1:6" x14ac:dyDescent="0.25">
      <c r="A105" s="75" t="s">
        <v>306</v>
      </c>
      <c r="B105" s="76" t="s">
        <v>121</v>
      </c>
      <c r="C105" s="76" t="s">
        <v>444</v>
      </c>
      <c r="D105" s="76" t="s">
        <v>442</v>
      </c>
      <c r="E105" s="77">
        <v>193705</v>
      </c>
      <c r="F105" s="77">
        <v>257000</v>
      </c>
    </row>
    <row r="106" spans="1:6" x14ac:dyDescent="0.25">
      <c r="A106" s="75" t="s">
        <v>307</v>
      </c>
      <c r="B106" s="76" t="s">
        <v>122</v>
      </c>
      <c r="C106" s="76" t="s">
        <v>450</v>
      </c>
      <c r="D106" s="76" t="s">
        <v>445</v>
      </c>
      <c r="E106" s="77">
        <f>11245+24235</f>
        <v>35480</v>
      </c>
      <c r="F106" s="77">
        <v>390411</v>
      </c>
    </row>
    <row r="107" spans="1:6" x14ac:dyDescent="0.25">
      <c r="A107" s="75" t="s">
        <v>308</v>
      </c>
      <c r="B107" s="76" t="s">
        <v>123</v>
      </c>
      <c r="C107" s="76" t="s">
        <v>446</v>
      </c>
      <c r="D107" s="76" t="s">
        <v>442</v>
      </c>
      <c r="E107" s="77">
        <v>141173</v>
      </c>
      <c r="F107" s="77">
        <v>246199.52</v>
      </c>
    </row>
    <row r="108" spans="1:6" x14ac:dyDescent="0.25">
      <c r="A108" s="75" t="s">
        <v>309</v>
      </c>
      <c r="B108" s="76" t="s">
        <v>124</v>
      </c>
      <c r="C108" s="76" t="s">
        <v>443</v>
      </c>
      <c r="D108" s="76" t="s">
        <v>445</v>
      </c>
      <c r="E108" s="77">
        <v>567146</v>
      </c>
      <c r="F108" s="77">
        <v>1491176</v>
      </c>
    </row>
    <row r="109" spans="1:6" x14ac:dyDescent="0.25">
      <c r="A109" s="75" t="s">
        <v>310</v>
      </c>
      <c r="B109" s="76" t="s">
        <v>125</v>
      </c>
      <c r="C109" s="76" t="s">
        <v>446</v>
      </c>
      <c r="D109" s="76" t="s">
        <v>442</v>
      </c>
      <c r="E109" s="77">
        <f>41387+44467+44387</f>
        <v>130241</v>
      </c>
      <c r="F109" s="77">
        <v>273721</v>
      </c>
    </row>
    <row r="110" spans="1:6" x14ac:dyDescent="0.25">
      <c r="A110" s="75" t="s">
        <v>311</v>
      </c>
      <c r="B110" s="76" t="s">
        <v>126</v>
      </c>
      <c r="C110" s="76" t="s">
        <v>451</v>
      </c>
      <c r="D110" s="76" t="s">
        <v>442</v>
      </c>
      <c r="E110" s="77">
        <f>11323+15637+26961</f>
        <v>53921</v>
      </c>
      <c r="F110" s="77">
        <v>132156.17000000001</v>
      </c>
    </row>
    <row r="111" spans="1:6" x14ac:dyDescent="0.25">
      <c r="A111" s="75" t="s">
        <v>312</v>
      </c>
      <c r="B111" s="76" t="s">
        <v>127</v>
      </c>
      <c r="C111" s="76" t="s">
        <v>444</v>
      </c>
      <c r="D111" s="76" t="s">
        <v>448</v>
      </c>
      <c r="E111" s="77">
        <v>889790</v>
      </c>
      <c r="F111" s="77">
        <v>4093226</v>
      </c>
    </row>
    <row r="112" spans="1:6" x14ac:dyDescent="0.25">
      <c r="A112" s="75" t="s">
        <v>313</v>
      </c>
      <c r="B112" s="76" t="s">
        <v>128</v>
      </c>
      <c r="C112" s="76" t="s">
        <v>447</v>
      </c>
      <c r="D112" s="76" t="s">
        <v>442</v>
      </c>
      <c r="E112" s="77">
        <v>149956</v>
      </c>
      <c r="F112" s="77">
        <v>235959</v>
      </c>
    </row>
    <row r="113" spans="1:6" x14ac:dyDescent="0.25">
      <c r="A113" s="75" t="s">
        <v>314</v>
      </c>
      <c r="B113" s="76" t="s">
        <v>129</v>
      </c>
      <c r="C113" s="76" t="s">
        <v>441</v>
      </c>
      <c r="D113" s="76" t="s">
        <v>442</v>
      </c>
      <c r="E113" s="77">
        <v>40952</v>
      </c>
      <c r="F113" s="77">
        <v>162633.56</v>
      </c>
    </row>
    <row r="114" spans="1:6" x14ac:dyDescent="0.25">
      <c r="A114" s="75" t="s">
        <v>315</v>
      </c>
      <c r="B114" s="76" t="s">
        <v>130</v>
      </c>
      <c r="C114" s="76" t="s">
        <v>441</v>
      </c>
      <c r="D114" s="76" t="s">
        <v>442</v>
      </c>
      <c r="E114" s="77">
        <v>31711</v>
      </c>
      <c r="F114" s="77">
        <v>108936</v>
      </c>
    </row>
    <row r="115" spans="1:6" x14ac:dyDescent="0.25">
      <c r="A115" s="75" t="s">
        <v>316</v>
      </c>
      <c r="B115" s="76" t="s">
        <v>131</v>
      </c>
      <c r="C115" s="76" t="s">
        <v>443</v>
      </c>
      <c r="D115" s="76" t="s">
        <v>442</v>
      </c>
      <c r="E115" s="77">
        <f>18230+21599+37000</f>
        <v>76829</v>
      </c>
      <c r="F115" s="77">
        <v>155551.24</v>
      </c>
    </row>
    <row r="116" spans="1:6" x14ac:dyDescent="0.25">
      <c r="A116" s="75" t="s">
        <v>317</v>
      </c>
      <c r="B116" s="76" t="s">
        <v>132</v>
      </c>
      <c r="C116" s="76" t="s">
        <v>450</v>
      </c>
      <c r="D116" s="76" t="s">
        <v>448</v>
      </c>
      <c r="E116" s="77">
        <v>1989580</v>
      </c>
      <c r="F116" s="77">
        <v>3975799.83</v>
      </c>
    </row>
    <row r="117" spans="1:6" x14ac:dyDescent="0.25">
      <c r="A117" s="75" t="s">
        <v>318</v>
      </c>
      <c r="B117" s="76" t="s">
        <v>133</v>
      </c>
      <c r="C117" s="76" t="s">
        <v>447</v>
      </c>
      <c r="D117" s="76" t="s">
        <v>442</v>
      </c>
      <c r="E117" s="77">
        <f>5484+19439</f>
        <v>24923</v>
      </c>
      <c r="F117" s="77">
        <v>42276</v>
      </c>
    </row>
    <row r="118" spans="1:6" x14ac:dyDescent="0.25">
      <c r="A118" s="75" t="s">
        <v>319</v>
      </c>
      <c r="B118" s="76" t="s">
        <v>134</v>
      </c>
      <c r="C118" s="76" t="s">
        <v>444</v>
      </c>
      <c r="D118" s="76" t="s">
        <v>445</v>
      </c>
      <c r="E118" s="77">
        <v>0</v>
      </c>
      <c r="F118" s="77">
        <v>525888</v>
      </c>
    </row>
    <row r="119" spans="1:6" x14ac:dyDescent="0.25">
      <c r="A119" s="75" t="s">
        <v>320</v>
      </c>
      <c r="B119" s="76" t="s">
        <v>135</v>
      </c>
      <c r="C119" s="76" t="s">
        <v>451</v>
      </c>
      <c r="D119" s="76" t="s">
        <v>442</v>
      </c>
      <c r="E119" s="77">
        <v>31243</v>
      </c>
      <c r="F119" s="77">
        <v>44031.24</v>
      </c>
    </row>
    <row r="120" spans="1:6" x14ac:dyDescent="0.25">
      <c r="A120" s="75" t="s">
        <v>321</v>
      </c>
      <c r="B120" s="76" t="s">
        <v>136</v>
      </c>
      <c r="C120" s="76" t="s">
        <v>441</v>
      </c>
      <c r="D120" s="76" t="s">
        <v>442</v>
      </c>
      <c r="E120" s="77">
        <v>7306</v>
      </c>
      <c r="F120" s="77">
        <v>76881.7</v>
      </c>
    </row>
    <row r="121" spans="1:6" x14ac:dyDescent="0.25">
      <c r="A121" s="75" t="s">
        <v>322</v>
      </c>
      <c r="B121" s="76" t="s">
        <v>137</v>
      </c>
      <c r="C121" s="76" t="s">
        <v>451</v>
      </c>
      <c r="D121" s="76" t="s">
        <v>445</v>
      </c>
      <c r="E121" s="77">
        <v>77764</v>
      </c>
      <c r="F121" s="77">
        <v>419857</v>
      </c>
    </row>
    <row r="122" spans="1:6" x14ac:dyDescent="0.25">
      <c r="A122" s="75" t="s">
        <v>323</v>
      </c>
      <c r="B122" s="76" t="s">
        <v>138</v>
      </c>
      <c r="C122" s="76" t="s">
        <v>443</v>
      </c>
      <c r="D122" s="76" t="s">
        <v>442</v>
      </c>
      <c r="E122" s="77">
        <v>293360</v>
      </c>
      <c r="F122" s="77">
        <v>174806</v>
      </c>
    </row>
    <row r="123" spans="1:6" x14ac:dyDescent="0.25">
      <c r="A123" s="75" t="s">
        <v>324</v>
      </c>
      <c r="B123" s="76" t="s">
        <v>139</v>
      </c>
      <c r="C123" s="76" t="s">
        <v>444</v>
      </c>
      <c r="D123" s="76" t="s">
        <v>442</v>
      </c>
      <c r="E123" s="77">
        <f>10373+5959+5738</f>
        <v>22070</v>
      </c>
      <c r="F123" s="77">
        <v>48507</v>
      </c>
    </row>
    <row r="124" spans="1:6" x14ac:dyDescent="0.25">
      <c r="A124" s="78" t="s">
        <v>325</v>
      </c>
      <c r="B124" s="76" t="s">
        <v>140</v>
      </c>
      <c r="C124" s="76" t="s">
        <v>447</v>
      </c>
      <c r="D124" s="76" t="s">
        <v>445</v>
      </c>
      <c r="E124" s="77">
        <f>390+915285</f>
        <v>915675</v>
      </c>
      <c r="F124" s="77">
        <v>2632785</v>
      </c>
    </row>
    <row r="125" spans="1:6" x14ac:dyDescent="0.25">
      <c r="A125" s="75" t="s">
        <v>326</v>
      </c>
      <c r="B125" s="76" t="s">
        <v>141</v>
      </c>
      <c r="C125" s="76" t="s">
        <v>447</v>
      </c>
      <c r="D125" s="76" t="s">
        <v>445</v>
      </c>
      <c r="E125" s="77">
        <v>782993</v>
      </c>
      <c r="F125" s="77">
        <v>2568287.7000000002</v>
      </c>
    </row>
    <row r="126" spans="1:6" x14ac:dyDescent="0.25">
      <c r="A126" s="75" t="s">
        <v>327</v>
      </c>
      <c r="B126" s="76" t="s">
        <v>142</v>
      </c>
      <c r="C126" s="76" t="s">
        <v>441</v>
      </c>
      <c r="D126" s="76" t="s">
        <v>442</v>
      </c>
      <c r="E126" s="77">
        <v>16596</v>
      </c>
      <c r="F126" s="77">
        <v>16596</v>
      </c>
    </row>
    <row r="127" spans="1:6" x14ac:dyDescent="0.25">
      <c r="A127" s="75" t="s">
        <v>328</v>
      </c>
      <c r="B127" s="76" t="s">
        <v>143</v>
      </c>
      <c r="C127" s="76" t="s">
        <v>443</v>
      </c>
      <c r="D127" s="76" t="s">
        <v>442</v>
      </c>
      <c r="E127" s="77">
        <f>1000+258763</f>
        <v>259763</v>
      </c>
      <c r="F127" s="77">
        <v>258041.53</v>
      </c>
    </row>
    <row r="128" spans="1:6" x14ac:dyDescent="0.25">
      <c r="A128" s="75" t="s">
        <v>329</v>
      </c>
      <c r="B128" s="76" t="s">
        <v>144</v>
      </c>
      <c r="C128" s="76" t="s">
        <v>450</v>
      </c>
      <c r="D128" s="76" t="s">
        <v>442</v>
      </c>
      <c r="E128" s="77">
        <v>3044</v>
      </c>
      <c r="F128" s="77">
        <v>73418</v>
      </c>
    </row>
    <row r="129" spans="1:6" x14ac:dyDescent="0.25">
      <c r="A129" s="75" t="s">
        <v>330</v>
      </c>
      <c r="B129" s="76" t="s">
        <v>145</v>
      </c>
      <c r="C129" s="76" t="s">
        <v>441</v>
      </c>
      <c r="D129" s="76" t="s">
        <v>442</v>
      </c>
      <c r="E129" s="77">
        <v>29897</v>
      </c>
      <c r="F129" s="77">
        <v>352876.83</v>
      </c>
    </row>
    <row r="130" spans="1:6" x14ac:dyDescent="0.25">
      <c r="A130" s="75" t="s">
        <v>331</v>
      </c>
      <c r="B130" s="76" t="s">
        <v>146</v>
      </c>
      <c r="C130" s="76" t="s">
        <v>441</v>
      </c>
      <c r="D130" s="76" t="s">
        <v>442</v>
      </c>
      <c r="E130" s="77">
        <v>27851</v>
      </c>
      <c r="F130" s="77">
        <v>92614.84</v>
      </c>
    </row>
    <row r="131" spans="1:6" x14ac:dyDescent="0.25">
      <c r="A131" s="75" t="s">
        <v>332</v>
      </c>
      <c r="B131" s="76" t="s">
        <v>147</v>
      </c>
      <c r="C131" s="76" t="s">
        <v>450</v>
      </c>
      <c r="D131" s="76" t="s">
        <v>445</v>
      </c>
      <c r="E131" s="77">
        <f>16766+31201+200+200+136823</f>
        <v>185190</v>
      </c>
      <c r="F131" s="77">
        <v>1407436</v>
      </c>
    </row>
    <row r="132" spans="1:6" x14ac:dyDescent="0.25">
      <c r="A132" s="75" t="s">
        <v>333</v>
      </c>
      <c r="B132" s="76" t="s">
        <v>148</v>
      </c>
      <c r="C132" s="76" t="s">
        <v>443</v>
      </c>
      <c r="D132" s="76" t="s">
        <v>442</v>
      </c>
      <c r="E132" s="77">
        <f>0+115851</f>
        <v>115851</v>
      </c>
      <c r="F132" s="77">
        <v>200554.44</v>
      </c>
    </row>
    <row r="133" spans="1:6" x14ac:dyDescent="0.25">
      <c r="A133" s="75" t="s">
        <v>334</v>
      </c>
      <c r="B133" s="76" t="s">
        <v>149</v>
      </c>
      <c r="C133" s="76" t="s">
        <v>441</v>
      </c>
      <c r="D133" s="76" t="s">
        <v>442</v>
      </c>
      <c r="E133" s="77">
        <v>2682</v>
      </c>
      <c r="F133" s="77">
        <v>13573.97</v>
      </c>
    </row>
    <row r="134" spans="1:6" x14ac:dyDescent="0.25">
      <c r="A134" s="75" t="s">
        <v>335</v>
      </c>
      <c r="B134" s="76" t="s">
        <v>150</v>
      </c>
      <c r="C134" s="76" t="s">
        <v>441</v>
      </c>
      <c r="D134" s="76" t="s">
        <v>445</v>
      </c>
      <c r="E134" s="77">
        <v>868232</v>
      </c>
      <c r="F134" s="77">
        <v>2431358.29</v>
      </c>
    </row>
    <row r="135" spans="1:6" x14ac:dyDescent="0.25">
      <c r="A135" s="75" t="s">
        <v>336</v>
      </c>
      <c r="B135" s="76" t="s">
        <v>151</v>
      </c>
      <c r="C135" s="76" t="s">
        <v>451</v>
      </c>
      <c r="D135" s="76" t="s">
        <v>442</v>
      </c>
      <c r="E135" s="77">
        <v>20919</v>
      </c>
      <c r="F135" s="77">
        <v>54588.24</v>
      </c>
    </row>
    <row r="136" spans="1:6" x14ac:dyDescent="0.25">
      <c r="A136" s="75" t="s">
        <v>337</v>
      </c>
      <c r="B136" s="76" t="s">
        <v>152</v>
      </c>
      <c r="C136" s="76" t="s">
        <v>450</v>
      </c>
      <c r="D136" s="76" t="s">
        <v>445</v>
      </c>
      <c r="E136" s="77">
        <v>11910</v>
      </c>
      <c r="F136" s="77">
        <v>55035</v>
      </c>
    </row>
    <row r="137" spans="1:6" x14ac:dyDescent="0.25">
      <c r="A137" s="75" t="s">
        <v>338</v>
      </c>
      <c r="B137" s="76" t="s">
        <v>153</v>
      </c>
      <c r="C137" s="76" t="s">
        <v>443</v>
      </c>
      <c r="D137" s="76" t="s">
        <v>442</v>
      </c>
      <c r="E137" s="77">
        <f>5805+5805</f>
        <v>11610</v>
      </c>
      <c r="F137" s="77">
        <v>24230.46</v>
      </c>
    </row>
    <row r="138" spans="1:6" x14ac:dyDescent="0.25">
      <c r="A138" s="75" t="s">
        <v>339</v>
      </c>
      <c r="B138" s="76" t="s">
        <v>154</v>
      </c>
      <c r="C138" s="76" t="s">
        <v>447</v>
      </c>
      <c r="D138" s="76" t="s">
        <v>442</v>
      </c>
      <c r="E138" s="77">
        <f>7384+10592</f>
        <v>17976</v>
      </c>
      <c r="F138" s="77">
        <v>91280.29</v>
      </c>
    </row>
    <row r="139" spans="1:6" x14ac:dyDescent="0.25">
      <c r="A139" s="75" t="s">
        <v>340</v>
      </c>
      <c r="B139" s="76" t="s">
        <v>155</v>
      </c>
      <c r="C139" s="76" t="s">
        <v>451</v>
      </c>
      <c r="D139" s="76" t="s">
        <v>449</v>
      </c>
      <c r="E139" s="77">
        <v>3921383</v>
      </c>
      <c r="F139" s="77">
        <v>13137214</v>
      </c>
    </row>
    <row r="140" spans="1:6" x14ac:dyDescent="0.25">
      <c r="A140" s="75" t="s">
        <v>341</v>
      </c>
      <c r="B140" s="76" t="s">
        <v>156</v>
      </c>
      <c r="C140" s="76" t="s">
        <v>443</v>
      </c>
      <c r="D140" s="76" t="s">
        <v>445</v>
      </c>
      <c r="E140" s="77">
        <v>1005462</v>
      </c>
      <c r="F140" s="77">
        <v>2559339</v>
      </c>
    </row>
    <row r="141" spans="1:6" x14ac:dyDescent="0.25">
      <c r="A141" s="75" t="s">
        <v>342</v>
      </c>
      <c r="B141" s="76" t="s">
        <v>157</v>
      </c>
      <c r="C141" s="76" t="s">
        <v>447</v>
      </c>
      <c r="D141" s="76" t="s">
        <v>442</v>
      </c>
      <c r="E141" s="77">
        <v>83363</v>
      </c>
      <c r="F141" s="77">
        <v>117869</v>
      </c>
    </row>
    <row r="142" spans="1:6" x14ac:dyDescent="0.25">
      <c r="A142" s="75" t="s">
        <v>343</v>
      </c>
      <c r="B142" s="76" t="s">
        <v>158</v>
      </c>
      <c r="C142" s="76" t="s">
        <v>441</v>
      </c>
      <c r="D142" s="76" t="s">
        <v>442</v>
      </c>
      <c r="E142" s="77">
        <f>8577+16077+12028+31697</f>
        <v>68379</v>
      </c>
      <c r="F142" s="77">
        <v>128931.11</v>
      </c>
    </row>
    <row r="143" spans="1:6" x14ac:dyDescent="0.25">
      <c r="A143" s="75" t="s">
        <v>344</v>
      </c>
      <c r="B143" s="76" t="s">
        <v>159</v>
      </c>
      <c r="C143" s="76" t="s">
        <v>443</v>
      </c>
      <c r="D143" s="76" t="s">
        <v>445</v>
      </c>
      <c r="E143" s="77">
        <v>664080</v>
      </c>
      <c r="F143" s="77">
        <v>1525673.01</v>
      </c>
    </row>
    <row r="144" spans="1:6" x14ac:dyDescent="0.25">
      <c r="A144" s="75" t="s">
        <v>345</v>
      </c>
      <c r="B144" s="76" t="s">
        <v>160</v>
      </c>
      <c r="C144" s="76" t="s">
        <v>446</v>
      </c>
      <c r="D144" s="76" t="s">
        <v>449</v>
      </c>
      <c r="E144" s="77">
        <v>8173925</v>
      </c>
      <c r="F144" s="77">
        <v>24626383.920000002</v>
      </c>
    </row>
    <row r="145" spans="1:6" x14ac:dyDescent="0.25">
      <c r="A145" s="75" t="s">
        <v>346</v>
      </c>
      <c r="B145" s="76" t="s">
        <v>161</v>
      </c>
      <c r="C145" s="76" t="s">
        <v>444</v>
      </c>
      <c r="D145" s="76" t="s">
        <v>442</v>
      </c>
      <c r="E145" s="77">
        <v>24940</v>
      </c>
      <c r="F145" s="77">
        <v>48031.68</v>
      </c>
    </row>
    <row r="146" spans="1:6" x14ac:dyDescent="0.25">
      <c r="A146" s="75" t="s">
        <v>347</v>
      </c>
      <c r="B146" s="76" t="s">
        <v>162</v>
      </c>
      <c r="C146" s="76" t="s">
        <v>441</v>
      </c>
      <c r="D146" s="76" t="s">
        <v>442</v>
      </c>
      <c r="E146" s="77">
        <v>32420</v>
      </c>
      <c r="F146" s="77">
        <v>46470</v>
      </c>
    </row>
    <row r="147" spans="1:6" x14ac:dyDescent="0.25">
      <c r="A147" s="75" t="s">
        <v>348</v>
      </c>
      <c r="B147" s="76" t="s">
        <v>163</v>
      </c>
      <c r="C147" s="76" t="s">
        <v>443</v>
      </c>
      <c r="D147" s="76" t="s">
        <v>442</v>
      </c>
      <c r="E147" s="77">
        <f>15000+20335</f>
        <v>35335</v>
      </c>
      <c r="F147" s="77">
        <v>96341</v>
      </c>
    </row>
    <row r="148" spans="1:6" x14ac:dyDescent="0.25">
      <c r="A148" s="75" t="s">
        <v>349</v>
      </c>
      <c r="B148" s="76" t="s">
        <v>164</v>
      </c>
      <c r="C148" s="76" t="s">
        <v>450</v>
      </c>
      <c r="D148" s="76" t="s">
        <v>442</v>
      </c>
      <c r="E148" s="77">
        <f>6000+33683</f>
        <v>39683</v>
      </c>
      <c r="F148" s="77">
        <v>135938.07</v>
      </c>
    </row>
    <row r="149" spans="1:6" x14ac:dyDescent="0.25">
      <c r="A149" s="75" t="s">
        <v>350</v>
      </c>
      <c r="B149" s="76" t="s">
        <v>165</v>
      </c>
      <c r="C149" s="76" t="s">
        <v>443</v>
      </c>
      <c r="D149" s="76" t="s">
        <v>442</v>
      </c>
      <c r="E149" s="77">
        <f>6820+8976+132225</f>
        <v>148021</v>
      </c>
      <c r="F149" s="77">
        <v>327930</v>
      </c>
    </row>
    <row r="150" spans="1:6" x14ac:dyDescent="0.25">
      <c r="A150" s="75" t="s">
        <v>351</v>
      </c>
      <c r="B150" s="76" t="s">
        <v>166</v>
      </c>
      <c r="C150" s="76" t="s">
        <v>441</v>
      </c>
      <c r="D150" s="76" t="s">
        <v>442</v>
      </c>
      <c r="E150" s="77">
        <v>33203</v>
      </c>
      <c r="F150" s="77">
        <v>308323</v>
      </c>
    </row>
    <row r="151" spans="1:6" x14ac:dyDescent="0.25">
      <c r="A151" s="75" t="s">
        <v>352</v>
      </c>
      <c r="B151" s="76" t="s">
        <v>167</v>
      </c>
      <c r="C151" s="76" t="s">
        <v>446</v>
      </c>
      <c r="D151" s="76" t="s">
        <v>445</v>
      </c>
      <c r="E151" s="77">
        <v>270615</v>
      </c>
      <c r="F151" s="77">
        <v>1329478.92</v>
      </c>
    </row>
    <row r="152" spans="1:6" x14ac:dyDescent="0.25">
      <c r="A152" s="75" t="s">
        <v>353</v>
      </c>
      <c r="B152" s="76" t="s">
        <v>168</v>
      </c>
      <c r="C152" s="76" t="s">
        <v>444</v>
      </c>
      <c r="D152" s="76" t="s">
        <v>442</v>
      </c>
      <c r="E152" s="77">
        <v>19946</v>
      </c>
      <c r="F152" s="77">
        <v>109878.58</v>
      </c>
    </row>
    <row r="153" spans="1:6" x14ac:dyDescent="0.25">
      <c r="A153" s="75" t="s">
        <v>354</v>
      </c>
      <c r="B153" s="76" t="s">
        <v>169</v>
      </c>
      <c r="C153" s="76" t="s">
        <v>444</v>
      </c>
      <c r="D153" s="76" t="s">
        <v>442</v>
      </c>
      <c r="E153" s="77">
        <v>109184</v>
      </c>
      <c r="F153" s="77">
        <v>152391.82</v>
      </c>
    </row>
    <row r="154" spans="1:6" x14ac:dyDescent="0.25">
      <c r="A154" s="75" t="s">
        <v>355</v>
      </c>
      <c r="B154" s="76" t="s">
        <v>170</v>
      </c>
      <c r="C154" s="76" t="s">
        <v>443</v>
      </c>
      <c r="D154" s="76" t="s">
        <v>442</v>
      </c>
      <c r="E154" s="77">
        <v>21503</v>
      </c>
      <c r="F154" s="77">
        <v>98096.639999999999</v>
      </c>
    </row>
    <row r="155" spans="1:6" x14ac:dyDescent="0.25">
      <c r="A155" s="75" t="s">
        <v>356</v>
      </c>
      <c r="B155" s="76" t="s">
        <v>171</v>
      </c>
      <c r="C155" s="76" t="s">
        <v>450</v>
      </c>
      <c r="D155" s="76" t="s">
        <v>448</v>
      </c>
      <c r="E155" s="77">
        <v>979503</v>
      </c>
      <c r="F155" s="77">
        <v>1632738</v>
      </c>
    </row>
    <row r="156" spans="1:6" x14ac:dyDescent="0.25">
      <c r="A156" s="75" t="s">
        <v>357</v>
      </c>
      <c r="B156" s="76" t="s">
        <v>172</v>
      </c>
      <c r="C156" s="76" t="s">
        <v>444</v>
      </c>
      <c r="D156" s="76" t="s">
        <v>442</v>
      </c>
      <c r="E156" s="77">
        <v>78918</v>
      </c>
      <c r="F156" s="77">
        <v>214938.56</v>
      </c>
    </row>
    <row r="157" spans="1:6" x14ac:dyDescent="0.25">
      <c r="A157" s="75" t="s">
        <v>358</v>
      </c>
      <c r="B157" s="76" t="s">
        <v>173</v>
      </c>
      <c r="C157" s="76" t="s">
        <v>447</v>
      </c>
      <c r="D157" s="76" t="s">
        <v>442</v>
      </c>
      <c r="E157" s="77">
        <f>2269+1864+648+3323</f>
        <v>8104</v>
      </c>
      <c r="F157" s="77">
        <v>65417.5</v>
      </c>
    </row>
    <row r="158" spans="1:6" x14ac:dyDescent="0.25">
      <c r="A158" s="75" t="s">
        <v>359</v>
      </c>
      <c r="B158" s="76" t="s">
        <v>174</v>
      </c>
      <c r="C158" s="76" t="s">
        <v>451</v>
      </c>
      <c r="D158" s="76" t="s">
        <v>445</v>
      </c>
      <c r="E158" s="77">
        <v>737493</v>
      </c>
      <c r="F158" s="77">
        <v>1687266.35</v>
      </c>
    </row>
    <row r="159" spans="1:6" x14ac:dyDescent="0.25">
      <c r="A159" s="75" t="s">
        <v>360</v>
      </c>
      <c r="B159" s="76" t="s">
        <v>175</v>
      </c>
      <c r="C159" s="76" t="s">
        <v>447</v>
      </c>
      <c r="D159" s="76" t="s">
        <v>442</v>
      </c>
      <c r="E159" s="77">
        <f>1926+3852+23747</f>
        <v>29525</v>
      </c>
      <c r="F159" s="77">
        <v>33457.39</v>
      </c>
    </row>
    <row r="160" spans="1:6" x14ac:dyDescent="0.25">
      <c r="A160" s="75" t="s">
        <v>361</v>
      </c>
      <c r="B160" s="76" t="s">
        <v>176</v>
      </c>
      <c r="C160" s="76" t="s">
        <v>450</v>
      </c>
      <c r="D160" s="76" t="s">
        <v>442</v>
      </c>
      <c r="E160" s="77">
        <v>24911</v>
      </c>
      <c r="F160" s="77">
        <v>40638</v>
      </c>
    </row>
    <row r="161" spans="1:6" x14ac:dyDescent="0.25">
      <c r="A161" s="75" t="s">
        <v>362</v>
      </c>
      <c r="B161" s="76" t="s">
        <v>177</v>
      </c>
      <c r="C161" s="76" t="s">
        <v>446</v>
      </c>
      <c r="D161" s="76" t="s">
        <v>448</v>
      </c>
      <c r="E161" s="77">
        <v>1004943</v>
      </c>
      <c r="F161" s="77">
        <v>6622877.0999999996</v>
      </c>
    </row>
    <row r="162" spans="1:6" x14ac:dyDescent="0.25">
      <c r="A162" s="75" t="s">
        <v>363</v>
      </c>
      <c r="B162" s="76" t="s">
        <v>178</v>
      </c>
      <c r="C162" s="76" t="s">
        <v>443</v>
      </c>
      <c r="D162" s="76" t="s">
        <v>442</v>
      </c>
      <c r="E162" s="77">
        <v>30180</v>
      </c>
      <c r="F162" s="77">
        <v>42226.01</v>
      </c>
    </row>
    <row r="163" spans="1:6" x14ac:dyDescent="0.25">
      <c r="A163" s="75" t="s">
        <v>364</v>
      </c>
      <c r="B163" s="76" t="s">
        <v>179</v>
      </c>
      <c r="C163" s="76" t="s">
        <v>451</v>
      </c>
      <c r="D163" s="76" t="s">
        <v>442</v>
      </c>
      <c r="E163" s="77">
        <f>6847+33440</f>
        <v>40287</v>
      </c>
      <c r="F163" s="77">
        <v>188460</v>
      </c>
    </row>
    <row r="164" spans="1:6" x14ac:dyDescent="0.25">
      <c r="A164" s="75" t="s">
        <v>365</v>
      </c>
      <c r="B164" s="76" t="s">
        <v>180</v>
      </c>
      <c r="C164" s="76" t="s">
        <v>441</v>
      </c>
      <c r="D164" s="76" t="s">
        <v>442</v>
      </c>
      <c r="E164" s="77">
        <v>34555</v>
      </c>
      <c r="F164" s="77">
        <v>209518.93</v>
      </c>
    </row>
    <row r="165" spans="1:6" x14ac:dyDescent="0.25">
      <c r="A165" s="75" t="s">
        <v>366</v>
      </c>
      <c r="B165" s="76" t="s">
        <v>181</v>
      </c>
      <c r="C165" s="76" t="s">
        <v>447</v>
      </c>
      <c r="D165" s="76" t="s">
        <v>442</v>
      </c>
      <c r="E165" s="77">
        <v>62015</v>
      </c>
      <c r="F165" s="77">
        <v>146795.92000000001</v>
      </c>
    </row>
    <row r="166" spans="1:6" x14ac:dyDescent="0.25">
      <c r="A166" s="75" t="s">
        <v>367</v>
      </c>
      <c r="B166" s="76" t="s">
        <v>182</v>
      </c>
      <c r="C166" s="76" t="s">
        <v>451</v>
      </c>
      <c r="D166" s="76" t="s">
        <v>442</v>
      </c>
      <c r="E166" s="77">
        <v>14220</v>
      </c>
      <c r="F166" s="77">
        <v>279878.31</v>
      </c>
    </row>
    <row r="167" spans="1:6" x14ac:dyDescent="0.25">
      <c r="A167" s="75" t="s">
        <v>368</v>
      </c>
      <c r="B167" s="76" t="s">
        <v>183</v>
      </c>
      <c r="C167" s="76" t="s">
        <v>450</v>
      </c>
      <c r="D167" s="76" t="s">
        <v>442</v>
      </c>
      <c r="E167" s="77">
        <v>33921</v>
      </c>
      <c r="F167" s="77">
        <v>184845</v>
      </c>
    </row>
    <row r="168" spans="1:6" x14ac:dyDescent="0.25">
      <c r="A168" s="79"/>
      <c r="B168" s="79">
        <f>COUNTA(B2:B167)</f>
        <v>166</v>
      </c>
      <c r="C168" s="79"/>
      <c r="D168" s="79"/>
      <c r="E168" s="80">
        <f>SUM(E2:E167)</f>
        <v>102521959</v>
      </c>
      <c r="F168" s="80">
        <f>SUM(F2:F167)</f>
        <v>288633369.38</v>
      </c>
    </row>
    <row r="169" spans="1:6" x14ac:dyDescent="0.25">
      <c r="E169" s="82"/>
      <c r="F169" s="82"/>
    </row>
  </sheetData>
  <sheetProtection algorithmName="SHA-512" hashValue="lX2rXXOcN1fqHNSeWXCPp7ZNpY1z/7HWP0Yp4HWl5eeDqLWdKHODJkNqZ5EeA0auJ1Jo2NTFnpX8N4hRiSA8MA==" saltValue="njb8IuavV/qH0VPClg4qrQ==" spinCount="100000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MATRIX</vt:lpstr>
      <vt:lpstr>FY19 ALLOCATIONS</vt:lpstr>
      <vt:lpstr>LISTS</vt:lpstr>
      <vt:lpstr>BUDGET ADJUSTMENT</vt:lpstr>
      <vt:lpstr>SPECIAL REQUEST</vt:lpstr>
      <vt:lpstr>COL WAIVER</vt:lpstr>
      <vt:lpstr>MATCH</vt:lpstr>
      <vt:lpstr>'BUDGET ADJUSTMENT'!Print_Area</vt:lpstr>
    </vt:vector>
  </TitlesOfParts>
  <Company>Texas Juvenile Probation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Texas Juvenile Justice Department</dc:creator>
  <cp:lastModifiedBy>Steve Roman</cp:lastModifiedBy>
  <cp:lastPrinted>2018-12-11T22:59:50Z</cp:lastPrinted>
  <dcterms:created xsi:type="dcterms:W3CDTF">2015-07-06T20:06:50Z</dcterms:created>
  <dcterms:modified xsi:type="dcterms:W3CDTF">2019-09-12T17:49:27Z</dcterms:modified>
</cp:coreProperties>
</file>